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90" activeTab="4"/>
  </bookViews>
  <sheets>
    <sheet name="InfoInicial" sheetId="1" r:id="rId1"/>
    <sheet name="E-Inv AF y Am" sheetId="2" r:id="rId2"/>
    <sheet name="E-Costos" sheetId="3" r:id="rId3"/>
    <sheet name="E-InvAT" sheetId="4" r:id="rId4"/>
    <sheet name="E-Cal Inv." sheetId="5" r:id="rId5"/>
    <sheet name="E-IVA " sheetId="6" r:id="rId6"/>
    <sheet name="E-Form" sheetId="7" r:id="rId7"/>
    <sheet name="F-Cred" sheetId="8" r:id="rId8"/>
    <sheet name="F-CRes" sheetId="9" r:id="rId9"/>
    <sheet name="F-2 Estructura" sheetId="10" r:id="rId10"/>
    <sheet name="F-IVA" sheetId="11" r:id="rId11"/>
    <sheet name="F- CFyU" sheetId="12" r:id="rId12"/>
    <sheet name="F-Balance" sheetId="13" r:id="rId13"/>
    <sheet name="F- Form" sheetId="14" r:id="rId14"/>
    <sheet name="Costo de Materiales" sheetId="15" r:id="rId15"/>
    <sheet name="Sueldos" sheetId="16" r:id="rId16"/>
    <sheet name="Ej 1" sheetId="17" r:id="rId17"/>
    <sheet name="Ej8" sheetId="18" r:id="rId18"/>
    <sheet name="Ej9" sheetId="19" r:id="rId19"/>
    <sheet name="Ej11 " sheetId="20" r:id="rId20"/>
  </sheets>
  <externalReferences>
    <externalReference r:id="rId23"/>
  </externalReferences>
  <definedNames>
    <definedName name="_xlnm.Print_Area" localSheetId="2">('E-Costos'!$A$3:$G$47,'E-Costos'!$A$50:$F$80,'E-Costos'!$A$83:$F$135)</definedName>
    <definedName name="_xlnm.Print_Area" localSheetId="11">'F- CFyU'!$A$3:$H$28</definedName>
    <definedName name="_xlnm.Print_Area" localSheetId="12">'F-Balance'!$A$3:$G$35</definedName>
    <definedName name="_xlnm.Print_Area" localSheetId="7">'F-Cred'!$A$1:$I$54</definedName>
    <definedName name="Excel_BuiltIn_Print_Area" localSheetId="11">('F- CFyU'!#REF!,'F- CFyU'!#REF!,'F- CFyU'!$A$3:$H$28)</definedName>
    <definedName name="Excel_BuiltIn_Print_Area" localSheetId="12">('F-Balance'!#REF!,'F-Balance'!#REF!,'F-Balance'!$A$3:$G$35)</definedName>
  </definedNames>
  <calcPr fullCalcOnLoad="1"/>
</workbook>
</file>

<file path=xl/sharedStrings.xml><?xml version="1.0" encoding="utf-8"?>
<sst xmlns="http://schemas.openxmlformats.org/spreadsheetml/2006/main" count="794" uniqueCount="511">
  <si>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</si>
  <si>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</si>
  <si>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</si>
  <si>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</si>
  <si>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</si>
  <si>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</si>
  <si>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</si>
  <si>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</si>
  <si>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</si>
  <si>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</si>
  <si>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</si>
  <si>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</si>
  <si>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</si>
  <si>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</si>
  <si>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</si>
  <si>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</si>
  <si>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</si>
  <si>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</si>
  <si>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</si>
  <si>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</si>
  <si>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</si>
  <si>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</si>
  <si>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</si>
  <si>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</si>
  <si>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</si>
  <si>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</si>
  <si>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</si>
  <si>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</si>
  <si>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</si>
  <si>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</si>
  <si>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</si>
  <si>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</si>
  <si>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</si>
  <si>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</si>
  <si>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</si>
  <si>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</si>
  <si>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Rubro a financiar</t>
  </si>
  <si>
    <t>% sobre el total del Rubro</t>
  </si>
  <si>
    <t>Dias de Financiación de Proveedores</t>
  </si>
  <si>
    <t>% sobre Compras</t>
  </si>
  <si>
    <t>Tasa de financiación</t>
  </si>
  <si>
    <t>Calamaro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</si>
  <si>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</si>
  <si>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</si>
  <si>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</si>
  <si>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</si>
  <si>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</si>
  <si>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</si>
  <si>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</si>
  <si>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</si>
  <si>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</si>
  <si>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</si>
  <si>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</si>
  <si>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</si>
  <si>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</si>
  <si>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</si>
  <si>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</si>
  <si>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</si>
  <si>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</si>
  <si>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</si>
  <si>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</si>
  <si>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</si>
  <si>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</si>
  <si>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</si>
  <si>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</si>
  <si>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</si>
  <si>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</si>
  <si>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</si>
  <si>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</si>
  <si>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</si>
  <si>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</si>
  <si>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</si>
  <si>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</si>
  <si>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</si>
  <si>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</si>
  <si>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</si>
  <si>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</si>
  <si>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</si>
  <si>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</si>
  <si>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</si>
  <si>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</si>
  <si>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</si>
  <si>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</si>
  <si>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</si>
  <si>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</si>
  <si>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</si>
  <si>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</si>
  <si>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</si>
  <si>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</si>
  <si>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</si>
  <si>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</si>
  <si>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</si>
  <si>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</si>
  <si>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</si>
  <si>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</si>
  <si>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</si>
  <si>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</si>
  <si>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</si>
  <si>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</si>
  <si>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</si>
  <si>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</si>
  <si>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</si>
  <si>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</si>
  <si>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</si>
  <si>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</si>
  <si>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</si>
  <si>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</si>
  <si>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</si>
  <si>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</si>
  <si>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</si>
  <si>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</si>
  <si>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</si>
  <si>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</si>
  <si>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</si>
  <si>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</si>
  <si>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</si>
  <si>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</si>
  <si>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</si>
  <si>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</si>
  <si>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</si>
  <si>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</si>
  <si>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</si>
  <si>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</si>
  <si>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</si>
  <si>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</si>
  <si>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</si>
  <si>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</si>
  <si>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</si>
  <si>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</si>
  <si>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</si>
  <si>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</si>
  <si>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</si>
  <si>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</si>
  <si>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</si>
  <si>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</si>
  <si>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</si>
  <si>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</si>
  <si>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</si>
  <si>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</si>
  <si>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</si>
  <si>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</si>
  <si>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</si>
  <si>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</si>
  <si>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</si>
  <si>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</si>
  <si>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</si>
  <si>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</si>
  <si>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</si>
  <si>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</si>
  <si>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</si>
  <si>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</si>
  <si>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</si>
  <si>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</si>
  <si>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</si>
  <si>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</si>
  <si>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</si>
  <si>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</si>
  <si>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</si>
  <si>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</si>
  <si>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</si>
  <si>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</si>
  <si>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</si>
  <si>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</si>
  <si>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</si>
  <si>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</si>
  <si>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</si>
  <si>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</si>
  <si>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</si>
  <si>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</si>
  <si>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</si>
  <si>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</si>
  <si>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</si>
  <si>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</si>
  <si>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</si>
  <si>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</si>
  <si>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</si>
  <si>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</si>
  <si>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</si>
  <si>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</si>
  <si>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</si>
  <si>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</si>
  <si>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</si>
  <si>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</si>
  <si>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</si>
  <si>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</si>
  <si>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</si>
  <si>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</si>
  <si>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</si>
  <si>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</si>
  <si>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</si>
  <si>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</si>
  <si>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</si>
  <si>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</si>
  <si>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</si>
  <si>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</si>
  <si>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</si>
  <si>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</si>
  <si>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</si>
  <si>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</si>
  <si>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</si>
  <si>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</si>
  <si>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</si>
  <si>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</si>
  <si>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</si>
  <si>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</si>
  <si>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</si>
  <si>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</si>
  <si>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</si>
  <si>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</si>
  <si>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</si>
  <si>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</si>
  <si>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</si>
  <si>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</si>
  <si>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</si>
  <si>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</si>
  <si>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</si>
  <si>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</si>
  <si>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</si>
  <si>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</si>
  <si>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</si>
  <si>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</si>
  <si>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</si>
  <si>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</si>
  <si>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</si>
  <si>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</si>
  <si>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</si>
  <si>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</si>
  <si>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</si>
  <si>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</si>
  <si>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</si>
  <si>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</si>
  <si>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</si>
  <si>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</si>
  <si>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</si>
  <si>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</si>
  <si>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</si>
  <si>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</si>
  <si>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</si>
  <si>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</si>
  <si>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</si>
  <si>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</si>
  <si>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</si>
  <si>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</si>
  <si>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</si>
  <si>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</si>
  <si>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</si>
  <si>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</si>
  <si>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</si>
  <si>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</si>
  <si>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</si>
  <si>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</si>
  <si>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</si>
  <si>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</si>
  <si>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</si>
  <si>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</si>
  <si>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</si>
  <si>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</si>
  <si>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</si>
  <si>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</si>
  <si>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</si>
  <si>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</si>
  <si>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</si>
  <si>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</si>
  <si>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</si>
  <si>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</si>
  <si>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</si>
  <si>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</si>
  <si>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</si>
  <si>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</si>
  <si>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</si>
  <si>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</si>
  <si>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</si>
  <si>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</si>
  <si>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</si>
  <si>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</si>
  <si>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</si>
  <si>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</si>
  <si>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</si>
  <si>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</si>
  <si>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</si>
  <si>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</si>
  <si>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</si>
  <si>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</si>
  <si>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</si>
  <si>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</si>
  <si>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</si>
  <si>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</si>
  <si>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</si>
  <si>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</si>
  <si>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</si>
  <si>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</si>
  <si>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</si>
  <si>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</si>
  <si>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</si>
  <si>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</si>
  <si>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</si>
  <si>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</si>
  <si>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</si>
  <si>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</si>
  <si>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</si>
  <si>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</si>
  <si>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</si>
  <si>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</si>
  <si>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</si>
  <si>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</si>
  <si>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</si>
  <si>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</si>
  <si>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</si>
  <si>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</si>
  <si>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</si>
  <si>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</si>
  <si>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</si>
  <si>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</si>
  <si>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</si>
  <si>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</si>
  <si>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</si>
  <si>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</si>
  <si>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</si>
  <si>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</si>
  <si>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</si>
  <si>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</si>
  <si>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</si>
  <si>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</si>
  <si>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</si>
  <si>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</si>
  <si>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</si>
  <si>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</si>
  <si>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</si>
  <si>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</si>
  <si>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</si>
  <si>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</si>
  <si>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</si>
  <si>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</si>
  <si>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</si>
  <si>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</si>
  <si>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</si>
  <si>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</si>
  <si>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</si>
  <si>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</si>
  <si>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</si>
  <si>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</si>
  <si>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</si>
  <si>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</si>
  <si>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</si>
  <si>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</si>
  <si>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</si>
  <si>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</si>
  <si>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</si>
  <si>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</si>
  <si>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</si>
  <si>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</si>
  <si>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</si>
  <si>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</si>
  <si>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</si>
  <si>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</si>
  <si>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</si>
  <si>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</si>
  <si>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</si>
  <si>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</si>
  <si>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</si>
  <si>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</si>
  <si>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</si>
  <si>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</si>
  <si>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</si>
  <si>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</si>
  <si>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</si>
  <si>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</si>
  <si>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</si>
  <si>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</si>
  <si>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</si>
  <si>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</si>
  <si>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</si>
  <si>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</si>
  <si>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</si>
  <si>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</si>
  <si>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</si>
  <si>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</si>
  <si>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</si>
  <si>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</si>
  <si>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</si>
  <si>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</si>
  <si>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FIDEOS</t>
  </si>
  <si>
    <t>Dinaluan</t>
  </si>
  <si>
    <t>Calculada en base a credito hipotecario obtenido del banco nacion TNA</t>
  </si>
  <si>
    <t>Edificio</t>
  </si>
  <si>
    <t>Tabla Sueldos</t>
  </si>
  <si>
    <t>13,6KW consumo diario</t>
  </si>
  <si>
    <t>0,87 $/KW</t>
  </si>
  <si>
    <t>Basado en la guia, estimo que el 90% de  las amort de activo fijo corresponden a producción, restando los respuestos en los casos necesarios</t>
  </si>
  <si>
    <t>Se estima 5% del activo fijo restando repuestos en los casos necesarios</t>
  </si>
  <si>
    <t xml:space="preserve">Año 3 </t>
  </si>
  <si>
    <t>Kg/mes</t>
  </si>
  <si>
    <t>Kg año</t>
  </si>
  <si>
    <t>$ / Kg</t>
  </si>
  <si>
    <t>Costo MP</t>
  </si>
  <si>
    <t>Harina de Arroz</t>
  </si>
  <si>
    <t>Almidon de maiz</t>
  </si>
  <si>
    <t>Sorbato de potasio</t>
  </si>
  <si>
    <t>Cajas 7*7*20</t>
  </si>
  <si>
    <t>cajas 40*40*60</t>
  </si>
  <si>
    <t>Bolsas de Nylon</t>
  </si>
  <si>
    <t>Agua</t>
  </si>
  <si>
    <t>5% del inmueble con un 2% de gasto de impuesto + 1,5% por ventas</t>
  </si>
  <si>
    <t>Sueldos Netos</t>
  </si>
  <si>
    <t>Sueldos Brutos</t>
  </si>
  <si>
    <t>Operario 1</t>
  </si>
  <si>
    <t>Operario 2</t>
  </si>
  <si>
    <t>Operario 3</t>
  </si>
  <si>
    <t>Operario 4</t>
  </si>
  <si>
    <t>Operario 5</t>
  </si>
  <si>
    <t>Operario  6</t>
  </si>
  <si>
    <t>Supervisor de Producción</t>
  </si>
  <si>
    <t xml:space="preserve">Administrador </t>
  </si>
  <si>
    <t>Jefe de Planta</t>
  </si>
  <si>
    <t>Jefe de Mantenimiento</t>
  </si>
  <si>
    <t>Gerente Marketing y comercializacion</t>
  </si>
  <si>
    <t>Périodo Inst</t>
  </si>
  <si>
    <t>Años 2-10</t>
  </si>
  <si>
    <t>Ventas</t>
  </si>
  <si>
    <t>Stock promedio de elaborado</t>
  </si>
  <si>
    <t>Producción</t>
  </si>
  <si>
    <t>Desperdicio no recuperables</t>
  </si>
  <si>
    <t>Harina de arroz  (kg)</t>
  </si>
  <si>
    <t>Almidón de maiz (kg)</t>
  </si>
  <si>
    <t>Conservante (kg)</t>
  </si>
  <si>
    <t>En curso y semielaborados</t>
  </si>
  <si>
    <t>Consumo MP</t>
  </si>
  <si>
    <t>Stock de MP</t>
  </si>
  <si>
    <t>Compra</t>
  </si>
  <si>
    <t>Evolución de las ventas</t>
  </si>
  <si>
    <t>Unidades</t>
  </si>
  <si>
    <t>(Producción de año 1-Stock promedio de PT)</t>
  </si>
  <si>
    <t>Año 2 a 10</t>
  </si>
  <si>
    <t>(Producción anual)</t>
  </si>
  <si>
    <t>-</t>
  </si>
  <si>
    <t>Evolución de la producción</t>
  </si>
  <si>
    <t>Producción anual:</t>
  </si>
  <si>
    <t>unidades</t>
  </si>
  <si>
    <t>Producción mensual:</t>
  </si>
  <si>
    <t>Puesta en marcha:</t>
  </si>
  <si>
    <t>meses</t>
  </si>
  <si>
    <t>Mes</t>
  </si>
  <si>
    <t>Ritmo de producción al inicio (%)</t>
  </si>
  <si>
    <t>Ritmo de producción al final (%)</t>
  </si>
  <si>
    <t>Producción promedio  (%)</t>
  </si>
  <si>
    <t>Producción mensual promedio (unidades)</t>
  </si>
  <si>
    <t>Producción propuesta (unidades)</t>
  </si>
  <si>
    <t>Total:</t>
  </si>
  <si>
    <t>Volumen de producción durante el resto del año 1:</t>
  </si>
  <si>
    <t>De acuerdo a lo establecido para el plan de ventas el primer año se deben vender 500000, y generar el stock promedio de 8000</t>
  </si>
  <si>
    <t>Volúmen de producción el en año 1:</t>
  </si>
  <si>
    <t>Volúmen de producción anual en los años 2 a 10:</t>
  </si>
  <si>
    <t>Kg/año1</t>
  </si>
  <si>
    <t>Kg/año2a5</t>
  </si>
  <si>
    <t>Stock equivalente de mercaderia en proceso en toneladas considerando ciclo de producción 1 dia</t>
  </si>
  <si>
    <t>mnb</t>
  </si>
  <si>
    <t>año 1</t>
  </si>
  <si>
    <t>Venta+mercaderia en curso+generación de stock pt</t>
  </si>
  <si>
    <t>Exceso en consumo por puesta en marcha =</t>
  </si>
  <si>
    <t>CVT</t>
  </si>
  <si>
    <t>CFT</t>
  </si>
  <si>
    <t>Cvu</t>
  </si>
  <si>
    <t>Qe</t>
  </si>
  <si>
    <t>año2-5</t>
  </si>
  <si>
    <t>AÑO 1</t>
  </si>
  <si>
    <t>Cantidad</t>
  </si>
  <si>
    <t>IT</t>
  </si>
  <si>
    <t>CT</t>
  </si>
  <si>
    <t>No pude linkear costo de amortizacion de produccion</t>
  </si>
  <si>
    <t>Plazo a 60 dias</t>
  </si>
  <si>
    <t xml:space="preserve">  </t>
  </si>
  <si>
    <t>Necesito el cuadro lleno</t>
  </si>
  <si>
    <t>Tenemos Stock de MP?</t>
  </si>
  <si>
    <t>Tenemos Stock de Materiales?</t>
  </si>
  <si>
    <t>Esta información esta destinada al Cuadro de Fuentes y Usos de Fondos (Dimensionamiento Financiero</t>
  </si>
  <si>
    <t>Información destinada al Cuadro de Inversiones y su Calendario.</t>
  </si>
  <si>
    <t>faltan valores cuadro invat</t>
  </si>
  <si>
    <t>Utilidades - HD - IG</t>
  </si>
  <si>
    <t>días</t>
  </si>
  <si>
    <t>Consumo de la MP ($)</t>
  </si>
  <si>
    <t>Desperdicios</t>
  </si>
  <si>
    <t>Secciones Operativas</t>
  </si>
  <si>
    <t>Alimentación</t>
  </si>
  <si>
    <t>Recuperables</t>
  </si>
  <si>
    <t>No Recuperables</t>
  </si>
  <si>
    <t>Producciones Seccionales</t>
  </si>
  <si>
    <t>Pesaje</t>
  </si>
  <si>
    <t>Amasado</t>
  </si>
  <si>
    <t>Estirado</t>
  </si>
  <si>
    <t>Corte</t>
  </si>
  <si>
    <t>Secado</t>
  </si>
  <si>
    <t>Sellado</t>
  </si>
  <si>
    <t>Embalado</t>
  </si>
  <si>
    <t>TOTALES</t>
  </si>
  <si>
    <t>a)</t>
  </si>
  <si>
    <t>Volumen 1era Secc:</t>
  </si>
  <si>
    <t>Tn/año</t>
  </si>
  <si>
    <t>b)</t>
  </si>
  <si>
    <t>Consumo real MP</t>
  </si>
  <si>
    <t>c)</t>
  </si>
  <si>
    <t>% Desp operativo en función de produccion</t>
  </si>
  <si>
    <t>d)</t>
  </si>
  <si>
    <t>% desperdicio real en función de la producción</t>
  </si>
  <si>
    <t>Plan de ventas</t>
  </si>
  <si>
    <t>mil unidades</t>
  </si>
  <si>
    <t xml:space="preserve">Son </t>
  </si>
  <si>
    <t>Tn</t>
  </si>
  <si>
    <t>produccion por año (unidades)</t>
  </si>
  <si>
    <t>mp por año (kg)</t>
  </si>
  <si>
    <t>Costo mp por unidad</t>
  </si>
  <si>
    <t>horas por unidad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</si>
</sst>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\$* #,##0.00_);_(\$* \(#,##0.00\);_(\$* \-??_);_(@_)"/>
    <numFmt numFmtId="173" formatCode="0.0"/>
    <numFmt numFmtId="174" formatCode="0.000"/>
    <numFmt numFmtId="175" formatCode="_(* #,##0.00_);_(* \(#,##0.00\);_(* \-??_);_(@_)"/>
    <numFmt numFmtId="176" formatCode="d&quot; de &quot;mmm&quot; de &quot;yy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_(\$* #,##0.000_);_(\$* \(#,##0.000\);_(\$* \-??_);_(@_)"/>
    <numFmt numFmtId="185" formatCode="_(\$* #,##0.0000_);_(\$* \(#,##0.0000\);_(\$* \-??_);_(@_)"/>
    <numFmt numFmtId="186" formatCode="_(\$* #,##0.0_);_(\$* \(#,##0.0\);_(\$* \-??_);_(@_)"/>
    <numFmt numFmtId="187" formatCode="_(\$* #,##0_);_(\$* \(#,##0\);_(\$* \-??_);_(@_)"/>
    <numFmt numFmtId="188" formatCode="#,##0.000"/>
    <numFmt numFmtId="189" formatCode="_ * #,##0.000_ ;_ * \-#,##0.000_ ;_ * &quot;-&quot;???_ ;_ @_ "/>
    <numFmt numFmtId="190" formatCode="_(* #,##0.0_);_(* \(#,##0.0\);_(* \-??_);_(@_)"/>
    <numFmt numFmtId="191" formatCode="_(* #,##0_);_(* \(#,##0\);_(* \-??_);_(@_)"/>
    <numFmt numFmtId="192" formatCode="0.0%"/>
    <numFmt numFmtId="193" formatCode="#,##0.0"/>
    <numFmt numFmtId="194" formatCode="&quot;$&quot;\ #,##0.0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#,##0.0000"/>
    <numFmt numFmtId="199" formatCode="_(* #,##0.00_);_(* \(#,##0.00\);_(* &quot;-&quot;??_);_(@_)"/>
    <numFmt numFmtId="200" formatCode="&quot;$&quot;\ #,##0.00;[Red]&quot;$&quot;\ #,##0.00"/>
    <numFmt numFmtId="201" formatCode="#,##0.00;[Red]#,##0.00"/>
  </numFmts>
  <fonts count="52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9" fontId="2" fillId="33" borderId="10" xfId="54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ont="1" applyFill="1" applyBorder="1" applyAlignment="1">
      <alignment/>
    </xf>
    <xf numFmtId="172" fontId="0" fillId="0" borderId="22" xfId="49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 horizontal="left"/>
    </xf>
    <xf numFmtId="172" fontId="0" fillId="0" borderId="22" xfId="49" applyFont="1" applyFill="1" applyBorder="1" applyAlignment="1" applyProtection="1">
      <alignment/>
      <protection/>
    </xf>
    <xf numFmtId="0" fontId="2" fillId="0" borderId="17" xfId="0" applyFont="1" applyFill="1" applyBorder="1" applyAlignment="1">
      <alignment horizontal="left"/>
    </xf>
    <xf numFmtId="172" fontId="0" fillId="0" borderId="18" xfId="49" applyFont="1" applyFill="1" applyBorder="1" applyAlignment="1" applyProtection="1">
      <alignment/>
      <protection locked="0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2" fontId="0" fillId="0" borderId="15" xfId="49" applyFont="1" applyFill="1" applyBorder="1" applyAlignment="1" applyProtection="1">
      <alignment/>
      <protection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20" xfId="0" applyFont="1" applyFill="1" applyBorder="1" applyAlignment="1">
      <alignment/>
    </xf>
    <xf numFmtId="172" fontId="0" fillId="0" borderId="23" xfId="49" applyFont="1" applyFill="1" applyBorder="1" applyAlignment="1" applyProtection="1">
      <alignment/>
      <protection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172" fontId="0" fillId="0" borderId="25" xfId="49" applyFont="1" applyFill="1" applyBorder="1" applyAlignment="1" applyProtection="1">
      <alignment/>
      <protection locked="0"/>
    </xf>
    <xf numFmtId="0" fontId="2" fillId="0" borderId="21" xfId="0" applyFont="1" applyFill="1" applyBorder="1" applyAlignment="1">
      <alignment horizontal="left"/>
    </xf>
    <xf numFmtId="173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73" fontId="0" fillId="0" borderId="25" xfId="0" applyNumberFormat="1" applyFill="1" applyBorder="1" applyAlignment="1">
      <alignment/>
    </xf>
    <xf numFmtId="173" fontId="2" fillId="0" borderId="22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173" fontId="0" fillId="0" borderId="0" xfId="0" applyNumberFormat="1" applyFill="1" applyAlignment="1">
      <alignment/>
    </xf>
    <xf numFmtId="172" fontId="0" fillId="0" borderId="19" xfId="49" applyFont="1" applyFill="1" applyBorder="1" applyAlignment="1" applyProtection="1">
      <alignment/>
      <protection locked="0"/>
    </xf>
    <xf numFmtId="173" fontId="2" fillId="0" borderId="0" xfId="0" applyNumberFormat="1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2" fontId="0" fillId="0" borderId="23" xfId="49" applyFont="1" applyFill="1" applyBorder="1" applyAlignment="1" applyProtection="1">
      <alignment horizontal="center"/>
      <protection locked="0"/>
    </xf>
    <xf numFmtId="172" fontId="0" fillId="0" borderId="24" xfId="49" applyFont="1" applyFill="1" applyBorder="1" applyAlignment="1" applyProtection="1">
      <alignment horizontal="center"/>
      <protection locked="0"/>
    </xf>
    <xf numFmtId="172" fontId="0" fillId="0" borderId="22" xfId="49" applyFont="1" applyFill="1" applyBorder="1" applyAlignment="1" applyProtection="1">
      <alignment horizontal="center"/>
      <protection locked="0"/>
    </xf>
    <xf numFmtId="172" fontId="0" fillId="0" borderId="25" xfId="49" applyFont="1" applyFill="1" applyBorder="1" applyAlignment="1" applyProtection="1">
      <alignment horizontal="center"/>
      <protection locked="0"/>
    </xf>
    <xf numFmtId="0" fontId="0" fillId="0" borderId="29" xfId="0" applyFill="1" applyBorder="1" applyAlignment="1">
      <alignment/>
    </xf>
    <xf numFmtId="173" fontId="0" fillId="0" borderId="30" xfId="0" applyNumberFormat="1" applyFill="1" applyBorder="1" applyAlignment="1">
      <alignment horizontal="center"/>
    </xf>
    <xf numFmtId="173" fontId="0" fillId="0" borderId="31" xfId="0" applyNumberFormat="1" applyFill="1" applyBorder="1" applyAlignment="1">
      <alignment/>
    </xf>
    <xf numFmtId="0" fontId="2" fillId="0" borderId="29" xfId="0" applyFont="1" applyFill="1" applyBorder="1" applyAlignment="1">
      <alignment/>
    </xf>
    <xf numFmtId="173" fontId="0" fillId="0" borderId="30" xfId="0" applyNumberFormat="1" applyFill="1" applyBorder="1" applyAlignment="1" applyProtection="1">
      <alignment horizontal="center"/>
      <protection locked="0"/>
    </xf>
    <xf numFmtId="172" fontId="0" fillId="0" borderId="18" xfId="49" applyFont="1" applyFill="1" applyBorder="1" applyAlignment="1" applyProtection="1">
      <alignment horizontal="center"/>
      <protection locked="0"/>
    </xf>
    <xf numFmtId="172" fontId="0" fillId="0" borderId="19" xfId="49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4" fontId="0" fillId="0" borderId="0" xfId="0" applyNumberFormat="1" applyFill="1" applyAlignment="1">
      <alignment horizontal="center"/>
    </xf>
    <xf numFmtId="174" fontId="2" fillId="0" borderId="15" xfId="0" applyNumberFormat="1" applyFont="1" applyFill="1" applyBorder="1" applyAlignment="1">
      <alignment horizontal="center"/>
    </xf>
    <xf numFmtId="174" fontId="2" fillId="0" borderId="16" xfId="0" applyNumberFormat="1" applyFont="1" applyFill="1" applyBorder="1" applyAlignment="1">
      <alignment horizontal="center"/>
    </xf>
    <xf numFmtId="172" fontId="0" fillId="0" borderId="30" xfId="49" applyFont="1" applyFill="1" applyBorder="1" applyAlignment="1" applyProtection="1">
      <alignment horizontal="center"/>
      <protection locked="0"/>
    </xf>
    <xf numFmtId="172" fontId="0" fillId="0" borderId="31" xfId="49" applyFont="1" applyFill="1" applyBorder="1" applyAlignment="1" applyProtection="1">
      <alignment horizontal="center"/>
      <protection locked="0"/>
    </xf>
    <xf numFmtId="9" fontId="0" fillId="0" borderId="18" xfId="54" applyFont="1" applyFill="1" applyBorder="1" applyAlignment="1" applyProtection="1">
      <alignment horizontal="center"/>
      <protection locked="0"/>
    </xf>
    <xf numFmtId="9" fontId="0" fillId="0" borderId="19" xfId="54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/>
    </xf>
    <xf numFmtId="172" fontId="0" fillId="0" borderId="15" xfId="49" applyFont="1" applyFill="1" applyBorder="1" applyAlignment="1" applyProtection="1">
      <alignment horizontal="center"/>
      <protection locked="0"/>
    </xf>
    <xf numFmtId="172" fontId="0" fillId="0" borderId="16" xfId="49" applyFont="1" applyFill="1" applyBorder="1" applyAlignment="1" applyProtection="1">
      <alignment horizontal="center"/>
      <protection locked="0"/>
    </xf>
    <xf numFmtId="172" fontId="0" fillId="0" borderId="22" xfId="49" applyFont="1" applyFill="1" applyBorder="1" applyAlignment="1" applyProtection="1">
      <alignment horizontal="center"/>
      <protection/>
    </xf>
    <xf numFmtId="172" fontId="0" fillId="0" borderId="25" xfId="49" applyFont="1" applyFill="1" applyBorder="1" applyAlignment="1" applyProtection="1">
      <alignment horizontal="center"/>
      <protection/>
    </xf>
    <xf numFmtId="9" fontId="0" fillId="0" borderId="22" xfId="54" applyFont="1" applyFill="1" applyBorder="1" applyAlignment="1" applyProtection="1">
      <alignment horizontal="center"/>
      <protection locked="0"/>
    </xf>
    <xf numFmtId="9" fontId="0" fillId="0" borderId="25" xfId="54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5" fontId="0" fillId="0" borderId="22" xfId="47" applyFont="1" applyFill="1" applyBorder="1" applyAlignment="1" applyProtection="1">
      <alignment horizontal="center"/>
      <protection locked="0"/>
    </xf>
    <xf numFmtId="175" fontId="0" fillId="0" borderId="25" xfId="47" applyFont="1" applyFill="1" applyBorder="1" applyAlignment="1" applyProtection="1">
      <alignment horizontal="center"/>
      <protection locked="0"/>
    </xf>
    <xf numFmtId="172" fontId="2" fillId="0" borderId="22" xfId="49" applyFont="1" applyFill="1" applyBorder="1" applyAlignment="1" applyProtection="1">
      <alignment horizontal="center"/>
      <protection locked="0"/>
    </xf>
    <xf numFmtId="172" fontId="2" fillId="0" borderId="25" xfId="49" applyFont="1" applyFill="1" applyBorder="1" applyAlignment="1" applyProtection="1">
      <alignment horizontal="center"/>
      <protection locked="0"/>
    </xf>
    <xf numFmtId="172" fontId="2" fillId="0" borderId="22" xfId="49" applyFont="1" applyFill="1" applyBorder="1" applyAlignment="1" applyProtection="1">
      <alignment horizontal="center"/>
      <protection/>
    </xf>
    <xf numFmtId="172" fontId="2" fillId="0" borderId="25" xfId="49" applyFont="1" applyFill="1" applyBorder="1" applyAlignment="1" applyProtection="1">
      <alignment horizontal="center"/>
      <protection/>
    </xf>
    <xf numFmtId="9" fontId="0" fillId="0" borderId="22" xfId="54" applyFont="1" applyFill="1" applyBorder="1" applyAlignment="1" applyProtection="1">
      <alignment/>
      <protection locked="0"/>
    </xf>
    <xf numFmtId="9" fontId="0" fillId="0" borderId="25" xfId="54" applyFont="1" applyFill="1" applyBorder="1" applyAlignment="1" applyProtection="1">
      <alignment/>
      <protection locked="0"/>
    </xf>
    <xf numFmtId="9" fontId="0" fillId="0" borderId="22" xfId="54" applyFont="1" applyFill="1" applyBorder="1" applyAlignment="1" applyProtection="1">
      <alignment/>
      <protection/>
    </xf>
    <xf numFmtId="9" fontId="0" fillId="0" borderId="25" xfId="54" applyFont="1" applyFill="1" applyBorder="1" applyAlignment="1" applyProtection="1">
      <alignment/>
      <protection/>
    </xf>
    <xf numFmtId="172" fontId="0" fillId="0" borderId="25" xfId="49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32" xfId="0" applyFont="1" applyFill="1" applyBorder="1" applyAlignment="1">
      <alignment/>
    </xf>
    <xf numFmtId="172" fontId="0" fillId="0" borderId="23" xfId="49" applyFont="1" applyFill="1" applyBorder="1" applyAlignment="1" applyProtection="1">
      <alignment horizontal="center"/>
      <protection/>
    </xf>
    <xf numFmtId="172" fontId="0" fillId="0" borderId="24" xfId="49" applyFont="1" applyFill="1" applyBorder="1" applyAlignment="1" applyProtection="1">
      <alignment horizontal="center"/>
      <protection/>
    </xf>
    <xf numFmtId="0" fontId="0" fillId="0" borderId="32" xfId="0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/>
    </xf>
    <xf numFmtId="172" fontId="0" fillId="0" borderId="35" xfId="49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/>
    </xf>
    <xf numFmtId="172" fontId="0" fillId="0" borderId="36" xfId="49" applyFont="1" applyFill="1" applyBorder="1" applyAlignment="1" applyProtection="1">
      <alignment horizontal="center"/>
      <protection locked="0"/>
    </xf>
    <xf numFmtId="172" fontId="0" fillId="0" borderId="36" xfId="49" applyFont="1" applyFill="1" applyBorder="1" applyAlignment="1" applyProtection="1">
      <alignment horizontal="center"/>
      <protection/>
    </xf>
    <xf numFmtId="172" fontId="0" fillId="0" borderId="34" xfId="49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172" fontId="0" fillId="0" borderId="40" xfId="49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>
      <alignment/>
    </xf>
    <xf numFmtId="172" fontId="0" fillId="0" borderId="42" xfId="49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>
      <alignment/>
    </xf>
    <xf numFmtId="172" fontId="0" fillId="0" borderId="42" xfId="49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>
      <alignment horizontal="left"/>
    </xf>
    <xf numFmtId="0" fontId="2" fillId="0" borderId="43" xfId="0" applyFont="1" applyFill="1" applyBorder="1" applyAlignment="1">
      <alignment/>
    </xf>
    <xf numFmtId="172" fontId="0" fillId="0" borderId="44" xfId="49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/>
    </xf>
    <xf numFmtId="172" fontId="0" fillId="0" borderId="40" xfId="49" applyFont="1" applyFill="1" applyBorder="1" applyAlignment="1" applyProtection="1">
      <alignment horizontal="center"/>
      <protection locked="0"/>
    </xf>
    <xf numFmtId="172" fontId="0" fillId="0" borderId="35" xfId="49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72" fontId="0" fillId="0" borderId="10" xfId="49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9" fontId="0" fillId="0" borderId="10" xfId="54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4" xfId="0" applyFont="1" applyFill="1" applyBorder="1" applyAlignment="1">
      <alignment horizontal="left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172" fontId="2" fillId="0" borderId="18" xfId="49" applyFont="1" applyFill="1" applyBorder="1" applyAlignment="1" applyProtection="1">
      <alignment horizontal="center"/>
      <protection locked="0"/>
    </xf>
    <xf numFmtId="9" fontId="2" fillId="0" borderId="18" xfId="54" applyFont="1" applyFill="1" applyBorder="1" applyAlignment="1" applyProtection="1">
      <alignment horizontal="center"/>
      <protection locked="0"/>
    </xf>
    <xf numFmtId="9" fontId="2" fillId="0" borderId="19" xfId="54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176" fontId="0" fillId="0" borderId="14" xfId="0" applyNumberFormat="1" applyFont="1" applyFill="1" applyBorder="1" applyAlignment="1" applyProtection="1">
      <alignment/>
      <protection locked="0"/>
    </xf>
    <xf numFmtId="172" fontId="0" fillId="0" borderId="15" xfId="49" applyFont="1" applyFill="1" applyBorder="1" applyAlignment="1" applyProtection="1">
      <alignment/>
      <protection locked="0"/>
    </xf>
    <xf numFmtId="9" fontId="0" fillId="0" borderId="15" xfId="54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9" fontId="0" fillId="0" borderId="18" xfId="54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right"/>
    </xf>
    <xf numFmtId="172" fontId="2" fillId="0" borderId="0" xfId="49" applyFont="1" applyFill="1" applyBorder="1" applyAlignment="1" applyProtection="1">
      <alignment horizontal="center"/>
      <protection/>
    </xf>
    <xf numFmtId="172" fontId="2" fillId="0" borderId="10" xfId="49" applyFont="1" applyFill="1" applyBorder="1" applyAlignment="1" applyProtection="1">
      <alignment horizontal="center"/>
      <protection locked="0"/>
    </xf>
    <xf numFmtId="172" fontId="2" fillId="0" borderId="0" xfId="49" applyFont="1" applyFill="1" applyBorder="1" applyAlignment="1" applyProtection="1">
      <alignment/>
      <protection/>
    </xf>
    <xf numFmtId="9" fontId="0" fillId="0" borderId="0" xfId="54" applyFont="1" applyFill="1" applyBorder="1" applyAlignment="1" applyProtection="1">
      <alignment/>
      <protection/>
    </xf>
    <xf numFmtId="176" fontId="0" fillId="0" borderId="21" xfId="0" applyNumberFormat="1" applyFont="1" applyFill="1" applyBorder="1" applyAlignment="1" applyProtection="1">
      <alignment horizontal="left"/>
      <protection locked="0"/>
    </xf>
    <xf numFmtId="172" fontId="2" fillId="0" borderId="18" xfId="49" applyFont="1" applyFill="1" applyBorder="1" applyAlignment="1" applyProtection="1">
      <alignment/>
      <protection/>
    </xf>
    <xf numFmtId="9" fontId="2" fillId="0" borderId="18" xfId="54" applyFont="1" applyFill="1" applyBorder="1" applyAlignment="1" applyProtection="1">
      <alignment/>
      <protection/>
    </xf>
    <xf numFmtId="172" fontId="2" fillId="0" borderId="19" xfId="49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4" fillId="0" borderId="26" xfId="0" applyFont="1" applyFill="1" applyBorder="1" applyAlignment="1" applyProtection="1">
      <alignment horizontal="left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54" xfId="0" applyFill="1" applyBorder="1" applyAlignment="1" applyProtection="1">
      <alignment/>
      <protection/>
    </xf>
    <xf numFmtId="172" fontId="2" fillId="0" borderId="24" xfId="49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37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wrapText="1"/>
      <protection/>
    </xf>
    <xf numFmtId="0" fontId="2" fillId="0" borderId="39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 horizontal="left"/>
      <protection/>
    </xf>
    <xf numFmtId="0" fontId="2" fillId="0" borderId="41" xfId="0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left"/>
      <protection/>
    </xf>
    <xf numFmtId="0" fontId="2" fillId="0" borderId="4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175" fontId="0" fillId="0" borderId="36" xfId="47" applyFont="1" applyFill="1" applyBorder="1" applyAlignment="1" applyProtection="1">
      <alignment horizontal="center"/>
      <protection locked="0"/>
    </xf>
    <xf numFmtId="175" fontId="0" fillId="0" borderId="22" xfId="47" applyFont="1" applyFill="1" applyBorder="1" applyAlignment="1" applyProtection="1">
      <alignment/>
      <protection locked="0"/>
    </xf>
    <xf numFmtId="175" fontId="0" fillId="0" borderId="36" xfId="47" applyFont="1" applyFill="1" applyBorder="1" applyAlignment="1" applyProtection="1">
      <alignment/>
      <protection locked="0"/>
    </xf>
    <xf numFmtId="175" fontId="0" fillId="0" borderId="25" xfId="47" applyFont="1" applyFill="1" applyBorder="1" applyAlignment="1" applyProtection="1">
      <alignment/>
      <protection locked="0"/>
    </xf>
    <xf numFmtId="172" fontId="2" fillId="0" borderId="36" xfId="49" applyFont="1" applyFill="1" applyBorder="1" applyAlignment="1" applyProtection="1">
      <alignment horizontal="center"/>
      <protection locked="0"/>
    </xf>
    <xf numFmtId="172" fontId="0" fillId="0" borderId="34" xfId="49" applyFont="1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175" fontId="0" fillId="0" borderId="15" xfId="47" applyFont="1" applyFill="1" applyBorder="1" applyAlignment="1" applyProtection="1">
      <alignment horizontal="center"/>
      <protection locked="0"/>
    </xf>
    <xf numFmtId="175" fontId="0" fillId="0" borderId="16" xfId="47" applyFont="1" applyFill="1" applyBorder="1" applyAlignment="1" applyProtection="1">
      <alignment horizontal="center"/>
      <protection locked="0"/>
    </xf>
    <xf numFmtId="175" fontId="0" fillId="0" borderId="22" xfId="47" applyFont="1" applyFill="1" applyBorder="1" applyAlignment="1" applyProtection="1">
      <alignment horizontal="center"/>
      <protection/>
    </xf>
    <xf numFmtId="175" fontId="0" fillId="0" borderId="25" xfId="47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174" fontId="0" fillId="0" borderId="0" xfId="0" applyNumberFormat="1" applyFill="1" applyBorder="1" applyAlignment="1" applyProtection="1">
      <alignment horizontal="center"/>
      <protection/>
    </xf>
    <xf numFmtId="174" fontId="0" fillId="0" borderId="0" xfId="0" applyNumberFormat="1" applyFill="1" applyAlignment="1" applyProtection="1">
      <alignment horizontal="center"/>
      <protection/>
    </xf>
    <xf numFmtId="173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173" fontId="0" fillId="0" borderId="0" xfId="0" applyNumberForma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10" fontId="0" fillId="34" borderId="56" xfId="0" applyNumberFormat="1" applyFill="1" applyBorder="1" applyAlignment="1" applyProtection="1">
      <alignment/>
      <protection locked="0"/>
    </xf>
    <xf numFmtId="173" fontId="0" fillId="34" borderId="10" xfId="0" applyNumberFormat="1" applyFill="1" applyBorder="1" applyAlignment="1" applyProtection="1">
      <alignment/>
      <protection locked="0"/>
    </xf>
    <xf numFmtId="9" fontId="0" fillId="34" borderId="57" xfId="0" applyNumberFormat="1" applyFill="1" applyBorder="1" applyAlignment="1" applyProtection="1">
      <alignment/>
      <protection locked="0"/>
    </xf>
    <xf numFmtId="187" fontId="0" fillId="0" borderId="22" xfId="49" applyNumberFormat="1" applyFont="1" applyFill="1" applyBorder="1" applyAlignment="1" applyProtection="1">
      <alignment/>
      <protection locked="0"/>
    </xf>
    <xf numFmtId="187" fontId="0" fillId="0" borderId="18" xfId="49" applyNumberFormat="1" applyFont="1" applyFill="1" applyBorder="1" applyAlignment="1" applyProtection="1">
      <alignment/>
      <protection locked="0"/>
    </xf>
    <xf numFmtId="187" fontId="0" fillId="0" borderId="23" xfId="49" applyNumberFormat="1" applyFill="1" applyBorder="1" applyAlignment="1">
      <alignment/>
    </xf>
    <xf numFmtId="187" fontId="0" fillId="0" borderId="22" xfId="49" applyNumberFormat="1" applyFill="1" applyBorder="1" applyAlignment="1">
      <alignment/>
    </xf>
    <xf numFmtId="187" fontId="0" fillId="0" borderId="22" xfId="49" applyNumberFormat="1" applyFill="1" applyBorder="1" applyAlignment="1" applyProtection="1">
      <alignment/>
      <protection locked="0"/>
    </xf>
    <xf numFmtId="187" fontId="0" fillId="0" borderId="22" xfId="49" applyNumberFormat="1" applyFill="1" applyBorder="1" applyAlignment="1" applyProtection="1">
      <alignment/>
      <protection/>
    </xf>
    <xf numFmtId="187" fontId="0" fillId="0" borderId="18" xfId="49" applyNumberFormat="1" applyFill="1" applyBorder="1" applyAlignment="1" applyProtection="1">
      <alignment/>
      <protection locked="0"/>
    </xf>
    <xf numFmtId="188" fontId="0" fillId="0" borderId="22" xfId="49" applyNumberFormat="1" applyFill="1" applyBorder="1" applyAlignment="1" applyProtection="1">
      <alignment/>
      <protection locked="0"/>
    </xf>
    <xf numFmtId="187" fontId="0" fillId="0" borderId="25" xfId="49" applyNumberFormat="1" applyFont="1" applyFill="1" applyBorder="1" applyAlignment="1" applyProtection="1">
      <alignment/>
      <protection locked="0"/>
    </xf>
    <xf numFmtId="187" fontId="0" fillId="0" borderId="22" xfId="0" applyNumberFormat="1" applyFill="1" applyBorder="1" applyAlignment="1">
      <alignment horizontal="center"/>
    </xf>
    <xf numFmtId="187" fontId="0" fillId="0" borderId="22" xfId="0" applyNumberFormat="1" applyFill="1" applyBorder="1" applyAlignment="1">
      <alignment/>
    </xf>
    <xf numFmtId="187" fontId="0" fillId="0" borderId="25" xfId="0" applyNumberFormat="1" applyFill="1" applyBorder="1" applyAlignment="1">
      <alignment/>
    </xf>
    <xf numFmtId="187" fontId="0" fillId="0" borderId="19" xfId="49" applyNumberFormat="1" applyFont="1" applyFill="1" applyBorder="1" applyAlignment="1" applyProtection="1">
      <alignment/>
      <protection locked="0"/>
    </xf>
    <xf numFmtId="191" fontId="0" fillId="0" borderId="22" xfId="47" applyNumberFormat="1" applyFont="1" applyFill="1" applyBorder="1" applyAlignment="1" applyProtection="1">
      <alignment horizontal="center"/>
      <protection locked="0"/>
    </xf>
    <xf numFmtId="191" fontId="0" fillId="0" borderId="25" xfId="47" applyNumberFormat="1" applyFont="1" applyFill="1" applyBorder="1" applyAlignment="1" applyProtection="1">
      <alignment horizontal="center"/>
      <protection locked="0"/>
    </xf>
    <xf numFmtId="187" fontId="0" fillId="0" borderId="22" xfId="49" applyNumberFormat="1" applyFont="1" applyFill="1" applyBorder="1" applyAlignment="1" applyProtection="1">
      <alignment horizontal="center"/>
      <protection locked="0"/>
    </xf>
    <xf numFmtId="187" fontId="0" fillId="0" borderId="25" xfId="49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/>
    </xf>
    <xf numFmtId="172" fontId="0" fillId="0" borderId="22" xfId="49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>
      <alignment/>
    </xf>
    <xf numFmtId="187" fontId="0" fillId="35" borderId="22" xfId="49" applyNumberFormat="1" applyFont="1" applyFill="1" applyBorder="1" applyAlignment="1" applyProtection="1">
      <alignment horizontal="center"/>
      <protection locked="0"/>
    </xf>
    <xf numFmtId="187" fontId="0" fillId="0" borderId="22" xfId="49" applyNumberFormat="1" applyFill="1" applyBorder="1" applyAlignment="1" applyProtection="1">
      <alignment horizontal="center"/>
      <protection locked="0"/>
    </xf>
    <xf numFmtId="0" fontId="31" fillId="0" borderId="58" xfId="52" applyBorder="1">
      <alignment/>
      <protection/>
    </xf>
    <xf numFmtId="0" fontId="31" fillId="0" borderId="58" xfId="52" applyFill="1" applyBorder="1">
      <alignment/>
      <protection/>
    </xf>
    <xf numFmtId="0" fontId="31" fillId="0" borderId="59" xfId="52" applyFill="1" applyBorder="1">
      <alignment/>
      <protection/>
    </xf>
    <xf numFmtId="187" fontId="0" fillId="36" borderId="22" xfId="49" applyNumberFormat="1" applyFont="1" applyFill="1" applyBorder="1" applyAlignment="1" applyProtection="1">
      <alignment horizontal="center"/>
      <protection locked="0"/>
    </xf>
    <xf numFmtId="0" fontId="31" fillId="0" borderId="0" xfId="52" applyBorder="1">
      <alignment/>
      <protection/>
    </xf>
    <xf numFmtId="0" fontId="31" fillId="0" borderId="0" xfId="52" applyFill="1" applyBorder="1">
      <alignment/>
      <protection/>
    </xf>
    <xf numFmtId="172" fontId="0" fillId="35" borderId="22" xfId="49" applyFont="1" applyFill="1" applyBorder="1" applyAlignment="1" applyProtection="1">
      <alignment horizontal="center"/>
      <protection locked="0"/>
    </xf>
    <xf numFmtId="0" fontId="0" fillId="0" borderId="58" xfId="0" applyBorder="1" applyAlignment="1">
      <alignment/>
    </xf>
    <xf numFmtId="0" fontId="31" fillId="0" borderId="58" xfId="52" applyBorder="1">
      <alignment/>
      <protection/>
    </xf>
    <xf numFmtId="1" fontId="31" fillId="0" borderId="58" xfId="52" applyNumberFormat="1" applyBorder="1">
      <alignment/>
      <protection/>
    </xf>
    <xf numFmtId="2" fontId="31" fillId="0" borderId="58" xfId="52" applyNumberFormat="1" applyBorder="1">
      <alignment/>
      <protection/>
    </xf>
    <xf numFmtId="0" fontId="31" fillId="37" borderId="58" xfId="52" applyFill="1" applyBorder="1">
      <alignment/>
      <protection/>
    </xf>
    <xf numFmtId="0" fontId="31" fillId="0" borderId="60" xfId="52" applyBorder="1" applyAlignment="1">
      <alignment/>
      <protection/>
    </xf>
    <xf numFmtId="0" fontId="31" fillId="0" borderId="61" xfId="52" applyBorder="1" applyAlignment="1">
      <alignment/>
      <protection/>
    </xf>
    <xf numFmtId="0" fontId="31" fillId="37" borderId="62" xfId="52" applyFill="1" applyBorder="1">
      <alignment/>
      <protection/>
    </xf>
    <xf numFmtId="173" fontId="31" fillId="0" borderId="58" xfId="52" applyNumberFormat="1" applyBorder="1">
      <alignment/>
      <protection/>
    </xf>
    <xf numFmtId="187" fontId="0" fillId="0" borderId="23" xfId="49" applyNumberFormat="1" applyFont="1" applyFill="1" applyBorder="1" applyAlignment="1" applyProtection="1">
      <alignment horizontal="center"/>
      <protection locked="0"/>
    </xf>
    <xf numFmtId="187" fontId="0" fillId="0" borderId="24" xfId="49" applyNumberFormat="1" applyFont="1" applyFill="1" applyBorder="1" applyAlignment="1" applyProtection="1">
      <alignment horizontal="center"/>
      <protection locked="0"/>
    </xf>
    <xf numFmtId="0" fontId="31" fillId="0" borderId="0" xfId="52">
      <alignment/>
      <protection/>
    </xf>
    <xf numFmtId="0" fontId="31" fillId="0" borderId="0" xfId="52" applyAlignment="1">
      <alignment horizontal="right"/>
      <protection/>
    </xf>
    <xf numFmtId="0" fontId="48" fillId="0" borderId="0" xfId="52" applyFont="1">
      <alignment/>
      <protection/>
    </xf>
    <xf numFmtId="1" fontId="31" fillId="0" borderId="0" xfId="52" applyNumberFormat="1">
      <alignment/>
      <protection/>
    </xf>
    <xf numFmtId="0" fontId="31" fillId="0" borderId="0" xfId="52">
      <alignment/>
      <protection/>
    </xf>
    <xf numFmtId="0" fontId="31" fillId="0" borderId="0" xfId="52" applyAlignment="1">
      <alignment horizontal="right"/>
      <protection/>
    </xf>
    <xf numFmtId="0" fontId="48" fillId="0" borderId="0" xfId="52" applyFont="1">
      <alignment/>
      <protection/>
    </xf>
    <xf numFmtId="1" fontId="31" fillId="0" borderId="0" xfId="52" applyNumberFormat="1">
      <alignment/>
      <protection/>
    </xf>
    <xf numFmtId="0" fontId="47" fillId="37" borderId="58" xfId="52" applyFont="1" applyFill="1" applyBorder="1" applyAlignment="1">
      <alignment horizontal="center" vertical="center"/>
      <protection/>
    </xf>
    <xf numFmtId="0" fontId="47" fillId="37" borderId="58" xfId="52" applyFont="1" applyFill="1" applyBorder="1">
      <alignment/>
      <protection/>
    </xf>
    <xf numFmtId="0" fontId="47" fillId="0" borderId="58" xfId="52" applyFont="1" applyBorder="1" applyAlignment="1">
      <alignment horizontal="right"/>
      <protection/>
    </xf>
    <xf numFmtId="1" fontId="31" fillId="0" borderId="0" xfId="52" applyNumberFormat="1" applyFill="1">
      <alignment/>
      <protection/>
    </xf>
    <xf numFmtId="0" fontId="31" fillId="0" borderId="0" xfId="52" applyFill="1">
      <alignment/>
      <protection/>
    </xf>
    <xf numFmtId="0" fontId="43" fillId="0" borderId="0" xfId="52" applyFont="1" applyFill="1">
      <alignment/>
      <protection/>
    </xf>
    <xf numFmtId="187" fontId="2" fillId="0" borderId="18" xfId="49" applyNumberFormat="1" applyFont="1" applyFill="1" applyBorder="1" applyAlignment="1" applyProtection="1">
      <alignment horizontal="center"/>
      <protection locked="0"/>
    </xf>
    <xf numFmtId="0" fontId="2" fillId="35" borderId="29" xfId="0" applyFont="1" applyFill="1" applyBorder="1" applyAlignment="1">
      <alignment/>
    </xf>
    <xf numFmtId="9" fontId="0" fillId="35" borderId="30" xfId="54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>
      <alignment/>
    </xf>
    <xf numFmtId="9" fontId="0" fillId="35" borderId="18" xfId="54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187" fontId="0" fillId="0" borderId="42" xfId="49" applyNumberFormat="1" applyFont="1" applyFill="1" applyBorder="1" applyAlignment="1" applyProtection="1">
      <alignment horizontal="center"/>
      <protection locked="0"/>
    </xf>
    <xf numFmtId="187" fontId="2" fillId="0" borderId="19" xfId="49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10" fontId="0" fillId="0" borderId="30" xfId="54" applyNumberFormat="1" applyFont="1" applyFill="1" applyBorder="1" applyAlignment="1" applyProtection="1">
      <alignment horizontal="center"/>
      <protection locked="0"/>
    </xf>
    <xf numFmtId="10" fontId="0" fillId="0" borderId="18" xfId="54" applyNumberFormat="1" applyFont="1" applyFill="1" applyBorder="1" applyAlignment="1" applyProtection="1">
      <alignment horizontal="center"/>
      <protection locked="0"/>
    </xf>
    <xf numFmtId="1" fontId="0" fillId="0" borderId="22" xfId="49" applyNumberFormat="1" applyFill="1" applyBorder="1" applyAlignment="1" applyProtection="1">
      <alignment horizontal="center"/>
      <protection locked="0"/>
    </xf>
    <xf numFmtId="3" fontId="0" fillId="0" borderId="22" xfId="49" applyNumberFormat="1" applyFont="1" applyFill="1" applyBorder="1" applyAlignment="1" applyProtection="1">
      <alignment horizontal="center"/>
      <protection locked="0"/>
    </xf>
    <xf numFmtId="1" fontId="0" fillId="0" borderId="22" xfId="49" applyNumberFormat="1" applyFont="1" applyFill="1" applyBorder="1" applyAlignment="1" applyProtection="1">
      <alignment horizontal="center"/>
      <protection locked="0"/>
    </xf>
    <xf numFmtId="172" fontId="0" fillId="0" borderId="22" xfId="54" applyNumberFormat="1" applyFont="1" applyFill="1" applyBorder="1" applyAlignment="1" applyProtection="1">
      <alignment/>
      <protection locked="0"/>
    </xf>
    <xf numFmtId="194" fontId="0" fillId="0" borderId="22" xfId="54" applyNumberFormat="1" applyFill="1" applyBorder="1" applyAlignment="1" applyProtection="1">
      <alignment/>
      <protection locked="0"/>
    </xf>
    <xf numFmtId="172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97" fontId="0" fillId="0" borderId="0" xfId="0" applyNumberFormat="1" applyFill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172" fontId="0" fillId="0" borderId="65" xfId="0" applyNumberFormat="1" applyFill="1" applyBorder="1" applyAlignment="1">
      <alignment/>
    </xf>
    <xf numFmtId="0" fontId="0" fillId="0" borderId="66" xfId="0" applyFill="1" applyBorder="1" applyAlignment="1">
      <alignment/>
    </xf>
    <xf numFmtId="0" fontId="0" fillId="0" borderId="0" xfId="0" applyFill="1" applyBorder="1" applyAlignment="1">
      <alignment/>
    </xf>
    <xf numFmtId="43" fontId="0" fillId="0" borderId="67" xfId="0" applyNumberFormat="1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197" fontId="0" fillId="0" borderId="70" xfId="0" applyNumberFormat="1" applyFill="1" applyBorder="1" applyAlignment="1">
      <alignment/>
    </xf>
    <xf numFmtId="43" fontId="0" fillId="0" borderId="65" xfId="0" applyNumberFormat="1" applyFill="1" applyBorder="1" applyAlignment="1">
      <alignment/>
    </xf>
    <xf numFmtId="3" fontId="0" fillId="0" borderId="18" xfId="49" applyNumberFormat="1" applyFont="1" applyFill="1" applyBorder="1" applyAlignment="1" applyProtection="1">
      <alignment/>
      <protection locked="0"/>
    </xf>
    <xf numFmtId="3" fontId="0" fillId="0" borderId="19" xfId="49" applyNumberFormat="1" applyFont="1" applyFill="1" applyBorder="1" applyAlignment="1" applyProtection="1">
      <alignment/>
      <protection locked="0"/>
    </xf>
    <xf numFmtId="0" fontId="0" fillId="0" borderId="58" xfId="0" applyFill="1" applyBorder="1" applyAlignment="1">
      <alignment/>
    </xf>
    <xf numFmtId="43" fontId="0" fillId="0" borderId="58" xfId="0" applyNumberFormat="1" applyFill="1" applyBorder="1" applyAlignment="1">
      <alignment/>
    </xf>
    <xf numFmtId="0" fontId="0" fillId="38" borderId="32" xfId="0" applyFill="1" applyBorder="1" applyAlignment="1">
      <alignment/>
    </xf>
    <xf numFmtId="172" fontId="0" fillId="38" borderId="22" xfId="49" applyFont="1" applyFill="1" applyBorder="1" applyAlignment="1" applyProtection="1">
      <alignment horizontal="center"/>
      <protection locked="0"/>
    </xf>
    <xf numFmtId="172" fontId="0" fillId="38" borderId="25" xfId="49" applyFont="1" applyFill="1" applyBorder="1" applyAlignment="1" applyProtection="1">
      <alignment horizontal="center"/>
      <protection locked="0"/>
    </xf>
    <xf numFmtId="0" fontId="0" fillId="39" borderId="32" xfId="0" applyFill="1" applyBorder="1" applyAlignment="1">
      <alignment/>
    </xf>
    <xf numFmtId="172" fontId="0" fillId="39" borderId="22" xfId="49" applyFont="1" applyFill="1" applyBorder="1" applyAlignment="1" applyProtection="1">
      <alignment horizontal="center"/>
      <protection locked="0"/>
    </xf>
    <xf numFmtId="172" fontId="0" fillId="39" borderId="25" xfId="49" applyFont="1" applyFill="1" applyBorder="1" applyAlignment="1" applyProtection="1">
      <alignment horizontal="center"/>
      <protection locked="0"/>
    </xf>
    <xf numFmtId="187" fontId="0" fillId="0" borderId="18" xfId="49" applyNumberFormat="1" applyFont="1" applyFill="1" applyBorder="1" applyAlignment="1" applyProtection="1">
      <alignment horizontal="center"/>
      <protection locked="0"/>
    </xf>
    <xf numFmtId="172" fontId="0" fillId="39" borderId="22" xfId="49" applyFont="1" applyFill="1" applyBorder="1" applyAlignment="1" applyProtection="1">
      <alignment horizontal="center"/>
      <protection/>
    </xf>
    <xf numFmtId="172" fontId="0" fillId="39" borderId="25" xfId="49" applyFont="1" applyFill="1" applyBorder="1" applyAlignment="1" applyProtection="1">
      <alignment horizontal="center"/>
      <protection/>
    </xf>
    <xf numFmtId="0" fontId="2" fillId="39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172" fontId="0" fillId="35" borderId="22" xfId="49" applyFont="1" applyFill="1" applyBorder="1" applyAlignment="1" applyProtection="1">
      <alignment horizontal="center"/>
      <protection/>
    </xf>
    <xf numFmtId="172" fontId="0" fillId="35" borderId="25" xfId="49" applyFont="1" applyFill="1" applyBorder="1" applyAlignment="1" applyProtection="1">
      <alignment horizontal="center"/>
      <protection/>
    </xf>
    <xf numFmtId="187" fontId="0" fillId="35" borderId="22" xfId="49" applyNumberFormat="1" applyFont="1" applyFill="1" applyBorder="1" applyAlignment="1" applyProtection="1">
      <alignment horizontal="center"/>
      <protection locked="0"/>
    </xf>
    <xf numFmtId="172" fontId="0" fillId="35" borderId="22" xfId="49" applyFont="1" applyFill="1" applyBorder="1" applyAlignment="1" applyProtection="1">
      <alignment horizontal="center"/>
      <protection locked="0"/>
    </xf>
    <xf numFmtId="0" fontId="2" fillId="38" borderId="32" xfId="0" applyFont="1" applyFill="1" applyBorder="1" applyAlignment="1">
      <alignment/>
    </xf>
    <xf numFmtId="0" fontId="2" fillId="38" borderId="33" xfId="0" applyFont="1" applyFill="1" applyBorder="1" applyAlignment="1">
      <alignment/>
    </xf>
    <xf numFmtId="172" fontId="0" fillId="38" borderId="18" xfId="49" applyFont="1" applyFill="1" applyBorder="1" applyAlignment="1" applyProtection="1">
      <alignment horizontal="center"/>
      <protection locked="0"/>
    </xf>
    <xf numFmtId="172" fontId="0" fillId="38" borderId="19" xfId="49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71" xfId="0" applyBorder="1" applyAlignment="1">
      <alignment horizontal="center" vertical="center"/>
    </xf>
    <xf numFmtId="10" fontId="31" fillId="0" borderId="58" xfId="52" applyNumberFormat="1" applyBorder="1" applyAlignment="1">
      <alignment horizontal="center"/>
      <protection/>
    </xf>
    <xf numFmtId="1" fontId="31" fillId="0" borderId="58" xfId="52" applyNumberFormat="1" applyBorder="1" applyAlignment="1">
      <alignment horizontal="center"/>
      <protection/>
    </xf>
    <xf numFmtId="2" fontId="31" fillId="0" borderId="58" xfId="52" applyNumberFormat="1" applyBorder="1" applyAlignment="1">
      <alignment horizontal="center"/>
      <protection/>
    </xf>
    <xf numFmtId="0" fontId="31" fillId="0" borderId="58" xfId="52" applyBorder="1" applyAlignment="1">
      <alignment horizontal="center"/>
      <protection/>
    </xf>
    <xf numFmtId="0" fontId="47" fillId="37" borderId="58" xfId="52" applyFont="1" applyFill="1" applyBorder="1" applyAlignment="1">
      <alignment horizontal="center" vertical="center" wrapText="1"/>
      <protection/>
    </xf>
    <xf numFmtId="0" fontId="31" fillId="37" borderId="72" xfId="52" applyFill="1" applyBorder="1">
      <alignment/>
      <protection/>
    </xf>
    <xf numFmtId="0" fontId="31" fillId="37" borderId="58" xfId="52" applyFill="1" applyBorder="1">
      <alignment/>
      <protection/>
    </xf>
    <xf numFmtId="0" fontId="31" fillId="37" borderId="58" xfId="52" applyFill="1" applyBorder="1" applyAlignment="1">
      <alignment horizontal="center" vertical="center" wrapText="1"/>
      <protection/>
    </xf>
    <xf numFmtId="0" fontId="31" fillId="37" borderId="58" xfId="52" applyFill="1" applyBorder="1" applyAlignment="1">
      <alignment horizontal="center" vertical="center"/>
      <protection/>
    </xf>
    <xf numFmtId="194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43" fontId="0" fillId="38" borderId="0" xfId="0" applyNumberFormat="1" applyFill="1" applyAlignment="1">
      <alignment/>
    </xf>
    <xf numFmtId="0" fontId="49" fillId="0" borderId="0" xfId="0" applyFont="1" applyAlignment="1">
      <alignment horizontal="center"/>
    </xf>
    <xf numFmtId="0" fontId="50" fillId="40" borderId="73" xfId="0" applyFont="1" applyFill="1" applyBorder="1" applyAlignment="1">
      <alignment horizontal="center"/>
    </xf>
    <xf numFmtId="0" fontId="50" fillId="40" borderId="74" xfId="0" applyFont="1" applyFill="1" applyBorder="1" applyAlignment="1">
      <alignment horizontal="center"/>
    </xf>
    <xf numFmtId="0" fontId="50" fillId="40" borderId="75" xfId="0" applyFont="1" applyFill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76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50" fillId="40" borderId="58" xfId="0" applyFont="1" applyFill="1" applyBorder="1" applyAlignment="1">
      <alignment horizontal="center"/>
    </xf>
    <xf numFmtId="0" fontId="50" fillId="0" borderId="79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50" fillId="0" borderId="80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9" fillId="35" borderId="58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2" fontId="50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/>
    </xf>
    <xf numFmtId="200" fontId="0" fillId="0" borderId="22" xfId="49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C3C3C"/>
                </a:solidFill>
              </a:rPr>
              <a:t>PUNTO DE EQUILIBRIO AÑO 1
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71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'E-Costos'!$C$142</c:f>
              <c:strCache>
                <c:ptCount val="1"/>
                <c:pt idx="0">
                  <c:v>CVT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'E-Costos'!$B$143:$B$152</c:f>
              <c:numCache/>
            </c:numRef>
          </c:cat>
          <c:val>
            <c:numRef>
              <c:f>'E-Costos'!$C$143:$C$152</c:f>
              <c:numCache/>
            </c:numRef>
          </c:val>
          <c:smooth val="0"/>
        </c:ser>
        <c:ser>
          <c:idx val="1"/>
          <c:order val="1"/>
          <c:tx>
            <c:strRef>
              <c:f>'E-Costos'!$D$142</c:f>
              <c:strCache>
                <c:ptCount val="1"/>
                <c:pt idx="0">
                  <c:v>CFT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'E-Costos'!$B$143:$B$152</c:f>
              <c:numCache/>
            </c:numRef>
          </c:cat>
          <c:val>
            <c:numRef>
              <c:f>'E-Costos'!$D$143:$D$152</c:f>
              <c:numCache/>
            </c:numRef>
          </c:val>
          <c:smooth val="0"/>
        </c:ser>
        <c:ser>
          <c:idx val="2"/>
          <c:order val="2"/>
          <c:tx>
            <c:strRef>
              <c:f>'E-Costos'!$E$142</c:f>
              <c:strCache>
                <c:ptCount val="1"/>
                <c:pt idx="0">
                  <c:v>IT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'E-Costos'!$B$143:$B$152</c:f>
              <c:numCache/>
            </c:numRef>
          </c:cat>
          <c:val>
            <c:numRef>
              <c:f>'E-Costos'!$E$143:$E$152</c:f>
              <c:numCache/>
            </c:numRef>
          </c:val>
          <c:smooth val="0"/>
        </c:ser>
        <c:ser>
          <c:idx val="3"/>
          <c:order val="3"/>
          <c:tx>
            <c:strRef>
              <c:f>'E-Costos'!$F$142</c:f>
              <c:strCache>
                <c:ptCount val="1"/>
                <c:pt idx="0">
                  <c:v>CT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'E-Costos'!$B$143:$B$152</c:f>
              <c:numCache/>
            </c:numRef>
          </c:cat>
          <c:val>
            <c:numRef>
              <c:f>'E-Costos'!$F$143:$F$152</c:f>
              <c:numCache/>
            </c:numRef>
          </c:val>
          <c:smooth val="0"/>
        </c:ser>
        <c:marker val="1"/>
        <c:axId val="63091705"/>
        <c:axId val="30954434"/>
      </c:line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30954434"/>
        <c:crosses val="autoZero"/>
        <c:auto val="1"/>
        <c:lblOffset val="100"/>
        <c:tickLblSkip val="1"/>
        <c:noMultiLvlLbl val="0"/>
      </c:catAx>
      <c:valAx>
        <c:axId val="30954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630917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90325"/>
          <c:w val="0.473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C3C3C"/>
                </a:solidFill>
              </a:rPr>
              <a:t>PUNTO DE EQUILIBRIO AÑO 5
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71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'E-Costos'!$C$159</c:f>
              <c:strCache>
                <c:ptCount val="1"/>
                <c:pt idx="0">
                  <c:v>CVT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'E-Costos'!$B$160:$B$175</c:f>
              <c:numCache/>
            </c:numRef>
          </c:cat>
          <c:val>
            <c:numRef>
              <c:f>'E-Costos'!$C$160:$C$175</c:f>
              <c:numCache/>
            </c:numRef>
          </c:val>
          <c:smooth val="0"/>
        </c:ser>
        <c:ser>
          <c:idx val="1"/>
          <c:order val="1"/>
          <c:tx>
            <c:strRef>
              <c:f>'E-Costos'!$D$159</c:f>
              <c:strCache>
                <c:ptCount val="1"/>
                <c:pt idx="0">
                  <c:v>CFT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'E-Costos'!$B$160:$B$175</c:f>
              <c:numCache/>
            </c:numRef>
          </c:cat>
          <c:val>
            <c:numRef>
              <c:f>'E-Costos'!$D$160:$D$175</c:f>
              <c:numCache/>
            </c:numRef>
          </c:val>
          <c:smooth val="0"/>
        </c:ser>
        <c:ser>
          <c:idx val="2"/>
          <c:order val="2"/>
          <c:tx>
            <c:strRef>
              <c:f>'E-Costos'!$E$159</c:f>
              <c:strCache>
                <c:ptCount val="1"/>
                <c:pt idx="0">
                  <c:v>IT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'E-Costos'!$B$160:$B$175</c:f>
              <c:numCache/>
            </c:numRef>
          </c:cat>
          <c:val>
            <c:numRef>
              <c:f>'E-Costos'!$E$160:$E$175</c:f>
              <c:numCache/>
            </c:numRef>
          </c:val>
          <c:smooth val="0"/>
        </c:ser>
        <c:ser>
          <c:idx val="3"/>
          <c:order val="3"/>
          <c:tx>
            <c:strRef>
              <c:f>'E-Costos'!$F$159</c:f>
              <c:strCache>
                <c:ptCount val="1"/>
                <c:pt idx="0">
                  <c:v>CT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'E-Costos'!$B$160:$B$175</c:f>
              <c:numCache/>
            </c:numRef>
          </c:cat>
          <c:val>
            <c:numRef>
              <c:f>'E-Costos'!$F$160:$F$175</c:f>
              <c:numCache/>
            </c:numRef>
          </c:val>
          <c:smooth val="0"/>
        </c:ser>
        <c:marker val="1"/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101544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90325"/>
          <c:w val="0.473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137</xdr:row>
      <xdr:rowOff>95250</xdr:rowOff>
    </xdr:from>
    <xdr:to>
      <xdr:col>11</xdr:col>
      <xdr:colOff>485775</xdr:colOff>
      <xdr:row>154</xdr:row>
      <xdr:rowOff>85725</xdr:rowOff>
    </xdr:to>
    <xdr:graphicFrame>
      <xdr:nvGraphicFramePr>
        <xdr:cNvPr id="1" name="Gráfico 7"/>
        <xdr:cNvGraphicFramePr/>
      </xdr:nvGraphicFramePr>
      <xdr:xfrm>
        <a:off x="8039100" y="22774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158</xdr:row>
      <xdr:rowOff>0</xdr:rowOff>
    </xdr:from>
    <xdr:to>
      <xdr:col>11</xdr:col>
      <xdr:colOff>457200</xdr:colOff>
      <xdr:row>174</xdr:row>
      <xdr:rowOff>152400</xdr:rowOff>
    </xdr:to>
    <xdr:graphicFrame>
      <xdr:nvGraphicFramePr>
        <xdr:cNvPr id="2" name="Gráfico 8"/>
        <xdr:cNvGraphicFramePr/>
      </xdr:nvGraphicFramePr>
      <xdr:xfrm>
        <a:off x="8010525" y="260794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P%20TP\Grupo2-ejercicios1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1"/>
      <sheetName val="Ej2"/>
      <sheetName val="Ej3"/>
      <sheetName val="Ej4"/>
      <sheetName val="Ej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3"/>
  <sheetViews>
    <sheetView zoomScalePageLayoutView="0" workbookViewId="0" topLeftCell="A20">
      <selection activeCell="C60" sqref="C60"/>
    </sheetView>
  </sheetViews>
  <sheetFormatPr defaultColWidth="11.421875" defaultRowHeight="12.75"/>
  <cols>
    <col min="1" max="1" width="42.28125" style="0" customWidth="1"/>
    <col min="2" max="2" width="12.57421875" style="0" bestFit="1" customWidth="1"/>
    <col min="4" max="4" width="17.421875" style="0" customWidth="1"/>
    <col min="6" max="7" width="15.140625" style="0" customWidth="1"/>
  </cols>
  <sheetData>
    <row r="1" spans="1:5" ht="12.75">
      <c r="A1" s="1" t="s">
        <v>0</v>
      </c>
      <c r="E1" s="2" t="s">
        <v>381</v>
      </c>
    </row>
    <row r="3" spans="1:2" ht="12.75">
      <c r="A3" s="3" t="s">
        <v>1</v>
      </c>
      <c r="B3" s="4">
        <v>0.21</v>
      </c>
    </row>
    <row r="4" spans="1:2" ht="12.75">
      <c r="A4" s="3" t="s">
        <v>2</v>
      </c>
      <c r="B4" s="4">
        <v>0.35</v>
      </c>
    </row>
    <row r="5" spans="1:7" ht="12.75">
      <c r="A5" s="3" t="s">
        <v>3</v>
      </c>
      <c r="B5" s="4">
        <v>0.05</v>
      </c>
      <c r="C5" t="s">
        <v>4</v>
      </c>
      <c r="G5" s="5"/>
    </row>
    <row r="7" spans="1:2" ht="12.75">
      <c r="A7" s="3" t="s">
        <v>5</v>
      </c>
      <c r="B7" t="s">
        <v>6</v>
      </c>
    </row>
    <row r="8" spans="1:3" ht="12.75">
      <c r="A8" s="6" t="s">
        <v>7</v>
      </c>
      <c r="B8" s="7">
        <v>30</v>
      </c>
      <c r="C8" t="s">
        <v>8</v>
      </c>
    </row>
    <row r="9" spans="1:3" ht="12.75">
      <c r="A9" s="6" t="s">
        <v>9</v>
      </c>
      <c r="B9" s="7">
        <v>10</v>
      </c>
      <c r="C9" t="s">
        <v>8</v>
      </c>
    </row>
    <row r="10" spans="1:3" ht="12.75">
      <c r="A10" s="6" t="s">
        <v>10</v>
      </c>
      <c r="B10" s="7">
        <v>10</v>
      </c>
      <c r="C10" t="s">
        <v>8</v>
      </c>
    </row>
    <row r="11" spans="1:3" ht="12.75">
      <c r="A11" s="6" t="s">
        <v>11</v>
      </c>
      <c r="B11" s="7">
        <v>5</v>
      </c>
      <c r="C11" t="s">
        <v>8</v>
      </c>
    </row>
    <row r="12" spans="1:3" ht="12.75">
      <c r="A12" s="6" t="s">
        <v>12</v>
      </c>
      <c r="B12" s="7">
        <v>5</v>
      </c>
      <c r="C12" t="s">
        <v>8</v>
      </c>
    </row>
    <row r="13" spans="1:3" ht="12.75">
      <c r="A13" s="6" t="s">
        <v>13</v>
      </c>
      <c r="B13" s="7">
        <v>3</v>
      </c>
      <c r="C13" t="s">
        <v>8</v>
      </c>
    </row>
    <row r="14" spans="1:3" ht="12.75">
      <c r="A14" s="6" t="s">
        <v>14</v>
      </c>
      <c r="B14" s="7">
        <v>5</v>
      </c>
      <c r="C14" t="s">
        <v>8</v>
      </c>
    </row>
    <row r="15" spans="1:2" ht="12.75">
      <c r="A15" s="6" t="s">
        <v>15</v>
      </c>
      <c r="B15" s="8">
        <v>0.045</v>
      </c>
    </row>
    <row r="17" spans="1:7" ht="12.75">
      <c r="A17" s="3" t="s">
        <v>16</v>
      </c>
      <c r="B17" s="9" t="s">
        <v>382</v>
      </c>
      <c r="C17" s="10"/>
      <c r="D17" s="10"/>
      <c r="E17" s="10"/>
      <c r="F17" s="10"/>
      <c r="G17" s="11"/>
    </row>
    <row r="19" spans="1:3" ht="12.75">
      <c r="A19" s="3" t="s">
        <v>17</v>
      </c>
      <c r="B19" s="12">
        <f>(500000+4*800000)/5</f>
        <v>740000</v>
      </c>
      <c r="C19" t="s">
        <v>18</v>
      </c>
    </row>
    <row r="20" spans="1:3" ht="12.75">
      <c r="A20" s="3" t="s">
        <v>19</v>
      </c>
      <c r="B20" s="12">
        <f>(40+4*50)/5</f>
        <v>48</v>
      </c>
      <c r="C20" t="s">
        <v>20</v>
      </c>
    </row>
    <row r="22" ht="12.75">
      <c r="A22" s="3" t="s">
        <v>21</v>
      </c>
    </row>
    <row r="23" spans="1:3" ht="12.75">
      <c r="A23" s="3" t="s">
        <v>22</v>
      </c>
      <c r="B23" s="12">
        <v>6</v>
      </c>
      <c r="C23" t="s">
        <v>23</v>
      </c>
    </row>
    <row r="24" spans="1:3" ht="12.75">
      <c r="A24" s="3" t="s">
        <v>24</v>
      </c>
      <c r="B24" s="12">
        <v>1</v>
      </c>
      <c r="C24" t="s">
        <v>23</v>
      </c>
    </row>
    <row r="25" spans="1:3" ht="12.75">
      <c r="A25" s="3" t="s">
        <v>25</v>
      </c>
      <c r="B25" s="12">
        <v>1</v>
      </c>
      <c r="C25" t="s">
        <v>23</v>
      </c>
    </row>
    <row r="27" spans="1:3" ht="12.75">
      <c r="A27" s="3" t="s">
        <v>26</v>
      </c>
      <c r="B27" s="12">
        <v>546</v>
      </c>
      <c r="C27" t="s">
        <v>27</v>
      </c>
    </row>
    <row r="28" spans="1:3" ht="12.75">
      <c r="A28" s="3" t="s">
        <v>28</v>
      </c>
      <c r="B28" s="12">
        <v>6</v>
      </c>
      <c r="C28" t="s">
        <v>29</v>
      </c>
    </row>
    <row r="29" spans="1:3" ht="12.75">
      <c r="A29" s="3" t="s">
        <v>30</v>
      </c>
      <c r="B29" s="12">
        <v>3</v>
      </c>
      <c r="C29" t="s">
        <v>29</v>
      </c>
    </row>
    <row r="32" spans="1:5" ht="12.75">
      <c r="A32" s="3" t="s">
        <v>31</v>
      </c>
      <c r="B32" s="12">
        <v>15.2</v>
      </c>
      <c r="C32" t="s">
        <v>32</v>
      </c>
      <c r="D32" s="12">
        <v>1</v>
      </c>
      <c r="E32" t="s">
        <v>33</v>
      </c>
    </row>
    <row r="33" ht="12.75">
      <c r="A33" s="13"/>
    </row>
    <row r="34" ht="12.75">
      <c r="A34" s="13"/>
    </row>
    <row r="35" spans="1:8" ht="12.75">
      <c r="A35" s="3" t="s">
        <v>34</v>
      </c>
      <c r="B35" s="239">
        <v>0.18</v>
      </c>
      <c r="C35" t="s">
        <v>35</v>
      </c>
      <c r="D35" s="351" t="s">
        <v>383</v>
      </c>
      <c r="E35" s="351"/>
      <c r="F35" s="351"/>
      <c r="G35" s="351"/>
      <c r="H35" s="351"/>
    </row>
    <row r="36" spans="1:4" ht="12.75">
      <c r="A36" s="3" t="s">
        <v>36</v>
      </c>
      <c r="B36" s="350" t="s">
        <v>384</v>
      </c>
      <c r="C36" s="350"/>
      <c r="D36" s="350"/>
    </row>
    <row r="37" spans="1:2" ht="12.75">
      <c r="A37" s="3" t="s">
        <v>37</v>
      </c>
      <c r="B37" s="241">
        <v>0.7</v>
      </c>
    </row>
    <row r="38" ht="12.75">
      <c r="A38" s="3"/>
    </row>
    <row r="39" spans="1:2" ht="12.75">
      <c r="A39" s="3" t="s">
        <v>38</v>
      </c>
      <c r="B39" s="12">
        <v>60</v>
      </c>
    </row>
    <row r="40" spans="1:2" ht="12.75">
      <c r="A40" s="3" t="s">
        <v>39</v>
      </c>
      <c r="B40" s="240">
        <f>(22/12)*2</f>
        <v>3.6666666666666665</v>
      </c>
    </row>
    <row r="41" spans="1:3" ht="12.75">
      <c r="A41" s="3" t="s">
        <v>40</v>
      </c>
      <c r="B41" s="12">
        <v>22</v>
      </c>
      <c r="C41" t="s">
        <v>35</v>
      </c>
    </row>
    <row r="50" spans="1:6" ht="15">
      <c r="A50" s="371" t="s">
        <v>479</v>
      </c>
      <c r="B50" s="371"/>
      <c r="C50" s="371"/>
      <c r="D50" s="371"/>
      <c r="E50" s="371"/>
      <c r="F50" s="371"/>
    </row>
    <row r="51" ht="13.5" thickBot="1"/>
    <row r="52" spans="1:8" ht="15" thickBot="1">
      <c r="A52" s="372" t="s">
        <v>47</v>
      </c>
      <c r="B52" s="373" t="s">
        <v>88</v>
      </c>
      <c r="C52" s="373" t="s">
        <v>89</v>
      </c>
      <c r="D52" s="373" t="s">
        <v>90</v>
      </c>
      <c r="E52" s="374" t="s">
        <v>91</v>
      </c>
      <c r="F52" s="375"/>
      <c r="G52" s="376"/>
      <c r="H52" s="376"/>
    </row>
    <row r="53" spans="1:8" ht="14.25">
      <c r="A53" s="377">
        <v>800000</v>
      </c>
      <c r="B53" s="378">
        <v>815000</v>
      </c>
      <c r="C53" s="378">
        <v>820000</v>
      </c>
      <c r="D53" s="378">
        <v>835000</v>
      </c>
      <c r="E53" s="379">
        <v>850000</v>
      </c>
      <c r="F53" s="380" t="s">
        <v>507</v>
      </c>
      <c r="G53" s="380"/>
      <c r="H53" s="103"/>
    </row>
    <row r="54" spans="1:8" ht="14.25">
      <c r="A54" s="381">
        <v>221000</v>
      </c>
      <c r="B54" s="382">
        <v>225000</v>
      </c>
      <c r="C54" s="382">
        <v>226000</v>
      </c>
      <c r="D54" s="382">
        <v>230000</v>
      </c>
      <c r="E54" s="383">
        <v>240000</v>
      </c>
      <c r="F54" s="380" t="s">
        <v>508</v>
      </c>
      <c r="G54" s="380"/>
      <c r="H54" s="103"/>
    </row>
    <row r="55" spans="1:8" ht="14.25">
      <c r="A55" s="381">
        <f>A54/A53</f>
        <v>0.27625</v>
      </c>
      <c r="B55" s="382">
        <f>B54/B53</f>
        <v>0.27607361963190186</v>
      </c>
      <c r="C55" s="382">
        <f>C54/C53</f>
        <v>0.275609756097561</v>
      </c>
      <c r="D55" s="382">
        <f>D54/D53</f>
        <v>0.2754491017964072</v>
      </c>
      <c r="E55" s="383">
        <f>E54/E53</f>
        <v>0.2823529411764706</v>
      </c>
      <c r="F55" s="380" t="s">
        <v>509</v>
      </c>
      <c r="G55" s="380"/>
      <c r="H55" s="103"/>
    </row>
    <row r="56" spans="1:8" ht="14.25">
      <c r="A56" s="384">
        <v>0.0105</v>
      </c>
      <c r="B56" s="384"/>
      <c r="C56" s="384"/>
      <c r="D56" s="384"/>
      <c r="E56" s="384"/>
      <c r="F56" s="380" t="s">
        <v>510</v>
      </c>
      <c r="G56" s="380"/>
      <c r="H56" s="103"/>
    </row>
    <row r="57" spans="1:8" ht="14.25" customHeight="1">
      <c r="A57" s="397"/>
      <c r="B57" s="397"/>
      <c r="C57" s="397"/>
      <c r="D57" s="397"/>
      <c r="E57" s="397"/>
      <c r="F57" s="397"/>
      <c r="G57" s="397"/>
      <c r="H57" s="397"/>
    </row>
    <row r="58" spans="1:8" ht="14.25" customHeight="1">
      <c r="A58" s="397"/>
      <c r="B58" s="397"/>
      <c r="C58" s="397"/>
      <c r="D58" s="397"/>
      <c r="E58" s="397"/>
      <c r="F58" s="397"/>
      <c r="G58" s="397"/>
      <c r="H58" s="397"/>
    </row>
    <row r="59" spans="1:8" ht="14.25" customHeight="1">
      <c r="A59" s="397"/>
      <c r="B59" s="397"/>
      <c r="C59" s="397"/>
      <c r="D59" s="397"/>
      <c r="E59" s="397"/>
      <c r="F59" s="397"/>
      <c r="G59" s="397"/>
      <c r="H59" s="397"/>
    </row>
    <row r="60" spans="1:8" ht="14.25" customHeight="1">
      <c r="A60" s="397"/>
      <c r="B60" s="397"/>
      <c r="C60" s="397"/>
      <c r="D60" s="397"/>
      <c r="E60" s="397"/>
      <c r="F60" s="397"/>
      <c r="G60" s="397"/>
      <c r="H60" s="397"/>
    </row>
    <row r="61" spans="1:8" ht="12.75" customHeight="1">
      <c r="A61" s="397"/>
      <c r="B61" s="397"/>
      <c r="C61" s="397"/>
      <c r="D61" s="397"/>
      <c r="E61" s="397"/>
      <c r="F61" s="397"/>
      <c r="G61" s="397"/>
      <c r="H61" s="397"/>
    </row>
    <row r="62" spans="1:8" ht="14.25" customHeight="1">
      <c r="A62" s="397"/>
      <c r="B62" s="397"/>
      <c r="C62" s="397"/>
      <c r="D62" s="397"/>
      <c r="E62" s="397"/>
      <c r="F62" s="397"/>
      <c r="G62" s="397"/>
      <c r="H62" s="397"/>
    </row>
    <row r="63" spans="1:8" ht="12.75" customHeight="1">
      <c r="A63" s="397"/>
      <c r="B63" s="397"/>
      <c r="C63" s="397"/>
      <c r="D63" s="397"/>
      <c r="E63" s="397"/>
      <c r="F63" s="397"/>
      <c r="G63" s="397"/>
      <c r="H63" s="397"/>
    </row>
    <row r="64" spans="1:8" ht="14.25" customHeight="1">
      <c r="A64" s="397"/>
      <c r="B64" s="397"/>
      <c r="C64" s="397"/>
      <c r="D64" s="397"/>
      <c r="E64" s="398"/>
      <c r="F64" s="398"/>
      <c r="G64" s="398"/>
      <c r="H64" s="398"/>
    </row>
    <row r="65" spans="1:8" ht="14.25" customHeight="1">
      <c r="A65" s="397"/>
      <c r="B65" s="397"/>
      <c r="C65" s="397"/>
      <c r="D65" s="397"/>
      <c r="E65" s="398"/>
      <c r="F65" s="398"/>
      <c r="G65" s="398"/>
      <c r="H65" s="398"/>
    </row>
    <row r="66" spans="1:8" ht="12.75" customHeight="1">
      <c r="A66" s="397"/>
      <c r="B66" s="397"/>
      <c r="C66" s="397"/>
      <c r="D66" s="397"/>
      <c r="E66" s="398"/>
      <c r="F66" s="398"/>
      <c r="G66" s="398"/>
      <c r="H66" s="398"/>
    </row>
    <row r="67" spans="1:8" ht="12.75" customHeight="1">
      <c r="A67" s="397"/>
      <c r="B67" s="397"/>
      <c r="C67" s="397"/>
      <c r="D67" s="397"/>
      <c r="E67" s="398"/>
      <c r="F67" s="398"/>
      <c r="G67" s="398"/>
      <c r="H67" s="398"/>
    </row>
    <row r="68" spans="1:8" ht="14.25" customHeight="1">
      <c r="A68" s="397"/>
      <c r="B68" s="397"/>
      <c r="C68" s="397"/>
      <c r="D68" s="397"/>
      <c r="E68" s="398"/>
      <c r="F68" s="398"/>
      <c r="G68" s="398"/>
      <c r="H68" s="398"/>
    </row>
    <row r="69" spans="1:8" ht="14.25" customHeight="1">
      <c r="A69" s="397"/>
      <c r="B69" s="397"/>
      <c r="C69" s="397"/>
      <c r="D69" s="397"/>
      <c r="E69" s="398"/>
      <c r="F69" s="398"/>
      <c r="G69" s="398"/>
      <c r="H69" s="398"/>
    </row>
    <row r="70" spans="1:8" ht="12.75" customHeight="1">
      <c r="A70" s="321"/>
      <c r="B70" s="321"/>
      <c r="C70" s="321"/>
      <c r="D70" s="321"/>
      <c r="E70" s="398"/>
      <c r="F70" s="398"/>
      <c r="G70" s="398"/>
      <c r="H70" s="398"/>
    </row>
    <row r="71" spans="1:8" ht="12.75">
      <c r="A71" s="321"/>
      <c r="B71" s="321"/>
      <c r="C71" s="321"/>
      <c r="D71" s="321"/>
      <c r="E71" s="321"/>
      <c r="F71" s="321"/>
      <c r="G71" s="321"/>
      <c r="H71" s="321"/>
    </row>
    <row r="793" ht="12.75">
      <c r="F793" s="5" t="s">
        <v>41</v>
      </c>
    </row>
  </sheetData>
  <sheetProtection selectLockedCells="1" selectUnlockedCells="1"/>
  <mergeCells count="9">
    <mergeCell ref="F55:G55"/>
    <mergeCell ref="A56:E56"/>
    <mergeCell ref="F56:G56"/>
    <mergeCell ref="B36:D36"/>
    <mergeCell ref="D35:H35"/>
    <mergeCell ref="A50:F50"/>
    <mergeCell ref="F52:H52"/>
    <mergeCell ref="F53:G53"/>
    <mergeCell ref="F54:G54"/>
  </mergeCells>
  <printOptions/>
  <pageMargins left="0.75" right="0.75" top="0.7" bottom="1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54.421875" style="173" customWidth="1"/>
    <col min="2" max="4" width="14.00390625" style="173" customWidth="1"/>
    <col min="5" max="250" width="11.421875" style="173" customWidth="1"/>
  </cols>
  <sheetData>
    <row r="1" spans="1:5" ht="12.75">
      <c r="A1" s="1" t="s">
        <v>0</v>
      </c>
      <c r="B1"/>
      <c r="C1"/>
      <c r="D1" t="str">
        <f>InfoInicial!E1</f>
        <v>FIDEOS</v>
      </c>
      <c r="E1" s="2"/>
    </row>
    <row r="2" spans="1:4" ht="15.75">
      <c r="A2" s="174" t="s">
        <v>279</v>
      </c>
      <c r="B2" s="175"/>
      <c r="C2" s="175"/>
      <c r="D2" s="176"/>
    </row>
    <row r="3" spans="1:4" ht="12.75">
      <c r="A3" s="177" t="s">
        <v>87</v>
      </c>
      <c r="B3" s="184" t="s">
        <v>46</v>
      </c>
      <c r="C3" s="184" t="s">
        <v>47</v>
      </c>
      <c r="D3" s="180" t="s">
        <v>190</v>
      </c>
    </row>
    <row r="4" spans="1:4" ht="12.75">
      <c r="A4" s="181" t="s">
        <v>280</v>
      </c>
      <c r="B4" s="84"/>
      <c r="C4" s="84"/>
      <c r="D4" s="85"/>
    </row>
    <row r="5" spans="2:4" ht="12.75">
      <c r="B5" s="61"/>
      <c r="C5" s="61"/>
      <c r="D5" s="62"/>
    </row>
    <row r="6" spans="1:4" ht="12.75">
      <c r="A6" s="173" t="s">
        <v>281</v>
      </c>
      <c r="B6" s="61"/>
      <c r="C6" s="61"/>
      <c r="D6" s="62"/>
    </row>
    <row r="7" spans="1:4" ht="12.75">
      <c r="A7" s="173" t="s">
        <v>282</v>
      </c>
      <c r="B7" s="61"/>
      <c r="C7" s="61"/>
      <c r="D7" s="62"/>
    </row>
    <row r="8" spans="1:4" ht="12.75">
      <c r="A8" s="181" t="s">
        <v>283</v>
      </c>
      <c r="B8" s="61"/>
      <c r="C8" s="61"/>
      <c r="D8" s="62"/>
    </row>
    <row r="9" spans="1:4" ht="12.75">
      <c r="A9" s="182" t="s">
        <v>284</v>
      </c>
      <c r="B9" s="61"/>
      <c r="C9" s="61"/>
      <c r="D9" s="62"/>
    </row>
    <row r="10" spans="1:4" ht="12.75">
      <c r="A10" s="181" t="s">
        <v>285</v>
      </c>
      <c r="B10" s="61"/>
      <c r="C10" s="61"/>
      <c r="D10" s="62"/>
    </row>
    <row r="11" spans="1:4" ht="12.75">
      <c r="A11" s="181" t="s">
        <v>286</v>
      </c>
      <c r="B11" s="84"/>
      <c r="C11" s="84"/>
      <c r="D11" s="85"/>
    </row>
    <row r="12" spans="1:4" ht="12.75">
      <c r="A12" s="182" t="s">
        <v>287</v>
      </c>
      <c r="B12" s="61"/>
      <c r="C12" s="61"/>
      <c r="D12" s="62"/>
    </row>
    <row r="13" spans="1:4" ht="12.75">
      <c r="A13" s="173" t="s">
        <v>288</v>
      </c>
      <c r="B13" s="61"/>
      <c r="C13" s="61"/>
      <c r="D13" s="62"/>
    </row>
    <row r="14" spans="1:4" ht="12.75">
      <c r="A14" s="173" t="s">
        <v>289</v>
      </c>
      <c r="B14" s="61"/>
      <c r="C14" s="61"/>
      <c r="D14" s="62"/>
    </row>
    <row r="15" spans="1:4" ht="12.75">
      <c r="A15" s="181" t="s">
        <v>290</v>
      </c>
      <c r="B15" s="61"/>
      <c r="C15" s="61"/>
      <c r="D15" s="62"/>
    </row>
    <row r="16" spans="1:4" ht="12.75">
      <c r="A16" s="173" t="s">
        <v>113</v>
      </c>
      <c r="B16" s="84"/>
      <c r="C16" s="84"/>
      <c r="D16" s="85"/>
    </row>
    <row r="17" spans="1:4" ht="12.75">
      <c r="A17" s="173" t="s">
        <v>291</v>
      </c>
      <c r="B17" s="61"/>
      <c r="C17" s="61"/>
      <c r="D17" s="62"/>
    </row>
    <row r="18" spans="1:4" ht="12.75">
      <c r="A18" s="173" t="s">
        <v>292</v>
      </c>
      <c r="B18" s="61"/>
      <c r="C18" s="61"/>
      <c r="D18" s="62"/>
    </row>
    <row r="19" spans="1:4" ht="12.75">
      <c r="A19" s="173" t="s">
        <v>293</v>
      </c>
      <c r="B19" s="61"/>
      <c r="C19" s="61"/>
      <c r="D19" s="62"/>
    </row>
    <row r="20" spans="1:4" ht="12.75">
      <c r="A20" s="181" t="s">
        <v>294</v>
      </c>
      <c r="B20" s="61"/>
      <c r="C20" s="61"/>
      <c r="D20" s="62"/>
    </row>
    <row r="21" spans="1:4" ht="12.75">
      <c r="A21" s="173" t="s">
        <v>295</v>
      </c>
      <c r="B21" s="61"/>
      <c r="C21" s="61"/>
      <c r="D21" s="62"/>
    </row>
    <row r="22" spans="1:4" ht="12.75">
      <c r="A22" s="181" t="s">
        <v>296</v>
      </c>
      <c r="B22" s="61"/>
      <c r="C22" s="61"/>
      <c r="D22" s="62"/>
    </row>
    <row r="23" spans="1:4" ht="12.75">
      <c r="A23" s="181" t="s">
        <v>297</v>
      </c>
      <c r="B23" s="61"/>
      <c r="C23" s="61"/>
      <c r="D23" s="62"/>
    </row>
    <row r="24" spans="1:4" ht="12.75">
      <c r="A24" s="181" t="s">
        <v>298</v>
      </c>
      <c r="B24" s="84"/>
      <c r="C24" s="84"/>
      <c r="D24" s="85"/>
    </row>
    <row r="25" spans="1:4" ht="12.75">
      <c r="A25" s="173" t="s">
        <v>299</v>
      </c>
      <c r="B25" s="61"/>
      <c r="C25" s="61"/>
      <c r="D25" s="62"/>
    </row>
    <row r="26" spans="1:4" ht="12.75">
      <c r="A26" s="173" t="s">
        <v>300</v>
      </c>
      <c r="B26" s="61"/>
      <c r="C26" s="61"/>
      <c r="D26" s="62"/>
    </row>
    <row r="27" spans="1:5" ht="12.75">
      <c r="A27" s="181" t="s">
        <v>301</v>
      </c>
      <c r="B27" s="61"/>
      <c r="C27" s="61"/>
      <c r="D27" s="62"/>
      <c r="E27" s="185"/>
    </row>
    <row r="28" spans="1:5" ht="12.75">
      <c r="A28" s="181" t="s">
        <v>302</v>
      </c>
      <c r="B28" s="84"/>
      <c r="C28" s="84"/>
      <c r="D28" s="114"/>
      <c r="E28" s="186" t="s">
        <v>303</v>
      </c>
    </row>
    <row r="29" spans="1:5" ht="12.75">
      <c r="A29" s="181" t="s">
        <v>304</v>
      </c>
      <c r="B29" s="61"/>
      <c r="C29" s="61"/>
      <c r="D29" s="113"/>
      <c r="E29" s="87"/>
    </row>
    <row r="30" spans="1:5" ht="12.75">
      <c r="A30" s="181" t="s">
        <v>305</v>
      </c>
      <c r="B30" s="61"/>
      <c r="C30" s="61"/>
      <c r="D30" s="113"/>
      <c r="E30" s="87"/>
    </row>
    <row r="31" spans="1:5" ht="12.75">
      <c r="A31" s="181" t="s">
        <v>306</v>
      </c>
      <c r="B31" s="61"/>
      <c r="C31" s="61"/>
      <c r="D31" s="113"/>
      <c r="E31" s="87"/>
    </row>
    <row r="32" spans="1:5" ht="12.75">
      <c r="A32" s="183" t="s">
        <v>190</v>
      </c>
      <c r="B32" s="68"/>
      <c r="C32" s="68"/>
      <c r="D32" s="115"/>
      <c r="E32" s="80"/>
    </row>
    <row r="34" spans="1:6" ht="15.75">
      <c r="A34" s="174" t="s">
        <v>307</v>
      </c>
      <c r="B34" s="175"/>
      <c r="C34" s="175"/>
      <c r="D34" s="175"/>
      <c r="E34" s="175"/>
      <c r="F34" s="175"/>
    </row>
    <row r="35" spans="1:6" ht="12.75">
      <c r="A35" s="177" t="s">
        <v>87</v>
      </c>
      <c r="B35" s="178" t="s">
        <v>47</v>
      </c>
      <c r="C35" s="178" t="s">
        <v>88</v>
      </c>
      <c r="D35" s="178" t="s">
        <v>89</v>
      </c>
      <c r="E35" s="178" t="s">
        <v>90</v>
      </c>
      <c r="F35" s="178" t="s">
        <v>91</v>
      </c>
    </row>
    <row r="36" spans="1:6" ht="12.75">
      <c r="A36" s="187" t="s">
        <v>152</v>
      </c>
      <c r="B36" s="25"/>
      <c r="C36" s="25"/>
      <c r="D36" s="25"/>
      <c r="E36" s="25"/>
      <c r="F36" s="25"/>
    </row>
    <row r="37" spans="1:6" ht="12.75">
      <c r="A37" s="188" t="s">
        <v>151</v>
      </c>
      <c r="B37" s="25"/>
      <c r="C37" s="25"/>
      <c r="D37" s="25"/>
      <c r="E37" s="25"/>
      <c r="F37" s="25"/>
    </row>
    <row r="38" spans="1:6" ht="12.75">
      <c r="A38" s="187" t="s">
        <v>154</v>
      </c>
      <c r="B38" s="25"/>
      <c r="C38" s="25"/>
      <c r="D38" s="25"/>
      <c r="E38" s="25"/>
      <c r="F38" s="25"/>
    </row>
    <row r="39" spans="1:6" ht="12.75">
      <c r="A39" s="188" t="s">
        <v>153</v>
      </c>
      <c r="B39" s="25"/>
      <c r="C39" s="25"/>
      <c r="D39" s="25"/>
      <c r="E39" s="25"/>
      <c r="F39" s="25"/>
    </row>
    <row r="40" spans="1:6" ht="12.75">
      <c r="A40" s="187" t="s">
        <v>156</v>
      </c>
      <c r="B40" s="25"/>
      <c r="C40" s="25"/>
      <c r="D40" s="25"/>
      <c r="E40" s="25"/>
      <c r="F40" s="25"/>
    </row>
    <row r="41" spans="1:6" ht="12.75">
      <c r="A41" s="188" t="s">
        <v>155</v>
      </c>
      <c r="B41" s="25"/>
      <c r="C41" s="25"/>
      <c r="D41" s="25"/>
      <c r="E41" s="25"/>
      <c r="F41" s="25"/>
    </row>
    <row r="42" spans="1:6" ht="12.75">
      <c r="A42" s="188" t="s">
        <v>308</v>
      </c>
      <c r="B42" s="25"/>
      <c r="C42" s="25"/>
      <c r="D42" s="25"/>
      <c r="E42" s="25"/>
      <c r="F42" s="25"/>
    </row>
    <row r="43" spans="1:6" ht="12.75">
      <c r="A43" s="187" t="s">
        <v>157</v>
      </c>
      <c r="B43" s="25"/>
      <c r="C43" s="25"/>
      <c r="D43" s="25"/>
      <c r="E43" s="25"/>
      <c r="F43" s="25"/>
    </row>
    <row r="44" spans="1:6" ht="12.75">
      <c r="A44" s="189" t="s">
        <v>158</v>
      </c>
      <c r="B44" s="29"/>
      <c r="C44" s="29"/>
      <c r="D44" s="29"/>
      <c r="E44" s="29"/>
      <c r="F44" s="29"/>
    </row>
    <row r="45" ht="15.75">
      <c r="A45" s="190" t="s">
        <v>309</v>
      </c>
    </row>
  </sheetData>
  <sheetProtection selectLockedCells="1" selectUnlockedCells="1"/>
  <printOptions/>
  <pageMargins left="0.25972222222222224" right="0.4597222222222222" top="0.7" bottom="1" header="0.5118055555555555" footer="0.5118055555555555"/>
  <pageSetup fitToHeight="4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43.00390625" style="173" customWidth="1"/>
    <col min="2" max="7" width="14.00390625" style="173" customWidth="1"/>
    <col min="8" max="8" width="17.421875" style="173" customWidth="1"/>
    <col min="9" max="16384" width="11.421875" style="173" customWidth="1"/>
  </cols>
  <sheetData>
    <row r="1" spans="1:5" ht="12.75">
      <c r="A1" s="1" t="s">
        <v>0</v>
      </c>
      <c r="B1"/>
      <c r="C1"/>
      <c r="D1"/>
      <c r="E1" s="2" t="str">
        <f>InfoInicial!E1</f>
        <v>FIDEOS</v>
      </c>
    </row>
    <row r="2" spans="1:7" ht="15.75">
      <c r="A2" s="174" t="s">
        <v>209</v>
      </c>
      <c r="B2" s="175"/>
      <c r="C2" s="175"/>
      <c r="D2" s="175"/>
      <c r="E2" s="175"/>
      <c r="F2" s="175"/>
      <c r="G2" s="176"/>
    </row>
    <row r="3" spans="1:7" ht="15.75">
      <c r="A3" s="191"/>
      <c r="B3" s="192" t="s">
        <v>210</v>
      </c>
      <c r="C3" s="192"/>
      <c r="D3" s="192"/>
      <c r="E3" s="192"/>
      <c r="F3" s="192"/>
      <c r="G3" s="193"/>
    </row>
    <row r="4" spans="1:7" ht="12.75">
      <c r="A4" s="194" t="s">
        <v>87</v>
      </c>
      <c r="B4" s="195" t="s">
        <v>46</v>
      </c>
      <c r="C4" s="178" t="s">
        <v>47</v>
      </c>
      <c r="D4" s="178" t="s">
        <v>88</v>
      </c>
      <c r="E4" s="178" t="s">
        <v>89</v>
      </c>
      <c r="F4" s="178" t="s">
        <v>90</v>
      </c>
      <c r="G4" s="180" t="s">
        <v>91</v>
      </c>
    </row>
    <row r="5" spans="1:7" ht="12.75">
      <c r="A5" s="196" t="s">
        <v>310</v>
      </c>
      <c r="B5" s="122"/>
      <c r="C5" s="105"/>
      <c r="D5" s="105"/>
      <c r="E5" s="105"/>
      <c r="F5" s="105"/>
      <c r="G5" s="106"/>
    </row>
    <row r="6" spans="1:7" ht="12.75">
      <c r="A6" s="197" t="s">
        <v>311</v>
      </c>
      <c r="B6" s="124"/>
      <c r="C6" s="61"/>
      <c r="D6" s="61"/>
      <c r="E6" s="61"/>
      <c r="F6" s="61"/>
      <c r="G6" s="62"/>
    </row>
    <row r="7" spans="1:7" ht="12.75">
      <c r="A7" s="197" t="s">
        <v>312</v>
      </c>
      <c r="B7" s="124"/>
      <c r="C7" s="61"/>
      <c r="D7" s="61"/>
      <c r="E7" s="61"/>
      <c r="F7" s="61"/>
      <c r="G7" s="62"/>
    </row>
    <row r="8" spans="1:7" ht="12.75">
      <c r="A8" s="198" t="s">
        <v>313</v>
      </c>
      <c r="B8" s="124"/>
      <c r="C8" s="61"/>
      <c r="D8" s="61"/>
      <c r="E8" s="61"/>
      <c r="F8" s="61"/>
      <c r="G8" s="62"/>
    </row>
    <row r="9" spans="1:7" ht="12.75">
      <c r="A9" s="198" t="s">
        <v>314</v>
      </c>
      <c r="B9" s="124"/>
      <c r="C9" s="61"/>
      <c r="D9" s="61"/>
      <c r="E9" s="61"/>
      <c r="F9" s="61"/>
      <c r="G9" s="62"/>
    </row>
    <row r="10" spans="1:7" ht="12.75">
      <c r="A10" s="199" t="s">
        <v>315</v>
      </c>
      <c r="B10" s="124"/>
      <c r="C10" s="61"/>
      <c r="D10" s="61"/>
      <c r="E10" s="61"/>
      <c r="F10" s="61"/>
      <c r="G10" s="62"/>
    </row>
    <row r="11" spans="1:7" ht="12.75">
      <c r="A11" s="199"/>
      <c r="B11" s="126"/>
      <c r="C11" s="84"/>
      <c r="D11" s="84"/>
      <c r="E11" s="84"/>
      <c r="F11" s="84"/>
      <c r="G11" s="85"/>
    </row>
    <row r="12" spans="1:7" ht="12.75">
      <c r="A12" s="197" t="s">
        <v>221</v>
      </c>
      <c r="B12" s="124"/>
      <c r="C12" s="61"/>
      <c r="D12" s="61"/>
      <c r="E12" s="61"/>
      <c r="F12" s="61"/>
      <c r="G12" s="62"/>
    </row>
    <row r="13" spans="1:7" ht="12.75">
      <c r="A13" s="197" t="s">
        <v>222</v>
      </c>
      <c r="B13" s="124"/>
      <c r="C13" s="61"/>
      <c r="D13" s="61"/>
      <c r="E13" s="61"/>
      <c r="F13" s="61"/>
      <c r="G13" s="62"/>
    </row>
    <row r="14" spans="1:7" ht="12.75">
      <c r="A14" s="199" t="s">
        <v>316</v>
      </c>
      <c r="B14" s="124"/>
      <c r="C14" s="61"/>
      <c r="D14" s="61"/>
      <c r="E14" s="61"/>
      <c r="F14" s="61"/>
      <c r="G14" s="62"/>
    </row>
    <row r="15" spans="1:7" ht="12.75">
      <c r="A15" s="197"/>
      <c r="B15" s="126"/>
      <c r="C15" s="84"/>
      <c r="D15" s="84"/>
      <c r="E15" s="84"/>
      <c r="F15" s="84"/>
      <c r="G15" s="85"/>
    </row>
    <row r="16" spans="1:7" ht="12.75">
      <c r="A16" s="200" t="s">
        <v>317</v>
      </c>
      <c r="B16" s="124"/>
      <c r="C16" s="61"/>
      <c r="D16" s="61"/>
      <c r="E16" s="61"/>
      <c r="F16" s="61"/>
      <c r="G16" s="62"/>
    </row>
    <row r="17" spans="1:7" ht="12.75">
      <c r="A17" s="200" t="s">
        <v>318</v>
      </c>
      <c r="B17" s="124"/>
      <c r="C17" s="61"/>
      <c r="D17" s="61"/>
      <c r="E17" s="61"/>
      <c r="F17" s="61"/>
      <c r="G17" s="62"/>
    </row>
    <row r="18" spans="1:7" ht="12.75">
      <c r="A18" s="199" t="s">
        <v>319</v>
      </c>
      <c r="B18" s="124"/>
      <c r="C18" s="61"/>
      <c r="D18" s="61"/>
      <c r="E18" s="61"/>
      <c r="F18" s="61"/>
      <c r="G18" s="62"/>
    </row>
    <row r="19" spans="1:7" ht="12.75">
      <c r="A19" s="199" t="s">
        <v>320</v>
      </c>
      <c r="B19" s="124"/>
      <c r="C19" s="61"/>
      <c r="D19" s="61"/>
      <c r="E19" s="61"/>
      <c r="F19" s="61"/>
      <c r="G19" s="62"/>
    </row>
    <row r="20" spans="1:7" ht="12.75">
      <c r="A20" s="197"/>
      <c r="B20" s="126"/>
      <c r="C20" s="84"/>
      <c r="D20" s="84"/>
      <c r="E20" s="84"/>
      <c r="F20" s="84"/>
      <c r="G20" s="85"/>
    </row>
    <row r="21" spans="1:7" ht="12.75">
      <c r="A21" s="201" t="s">
        <v>228</v>
      </c>
      <c r="B21" s="129"/>
      <c r="C21" s="68"/>
      <c r="D21" s="68"/>
      <c r="E21" s="68"/>
      <c r="F21" s="68"/>
      <c r="G21" s="69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41.00390625" style="202" customWidth="1"/>
    <col min="2" max="8" width="14.8515625" style="202" customWidth="1"/>
    <col min="9" max="9" width="17.421875" style="202" customWidth="1"/>
    <col min="10" max="16384" width="11.421875" style="202" customWidth="1"/>
  </cols>
  <sheetData>
    <row r="1" spans="1:5" ht="12.75">
      <c r="A1" s="1" t="s">
        <v>0</v>
      </c>
      <c r="B1"/>
      <c r="C1"/>
      <c r="D1"/>
      <c r="E1" s="2" t="str">
        <f>InfoInicial!E1</f>
        <v>FIDEOS</v>
      </c>
    </row>
    <row r="3" spans="1:8" ht="15.75">
      <c r="A3" s="203" t="s">
        <v>321</v>
      </c>
      <c r="B3" s="204"/>
      <c r="C3" s="204"/>
      <c r="D3" s="204"/>
      <c r="E3" s="204"/>
      <c r="F3" s="204"/>
      <c r="G3" s="205"/>
      <c r="H3" s="206"/>
    </row>
    <row r="4" spans="1:8" ht="12.75">
      <c r="A4" s="207"/>
      <c r="B4" s="208" t="s">
        <v>46</v>
      </c>
      <c r="C4" s="208" t="s">
        <v>47</v>
      </c>
      <c r="D4" s="208" t="s">
        <v>88</v>
      </c>
      <c r="E4" s="208" t="s">
        <v>89</v>
      </c>
      <c r="F4" s="208" t="s">
        <v>90</v>
      </c>
      <c r="G4" s="209" t="s">
        <v>91</v>
      </c>
      <c r="H4" s="210" t="s">
        <v>190</v>
      </c>
    </row>
    <row r="5" spans="1:8" ht="12.75">
      <c r="A5" s="181" t="s">
        <v>322</v>
      </c>
      <c r="B5" s="91"/>
      <c r="C5" s="91"/>
      <c r="D5" s="91"/>
      <c r="E5" s="91"/>
      <c r="F5" s="91"/>
      <c r="G5" s="211"/>
      <c r="H5" s="92"/>
    </row>
    <row r="6" spans="1:8" ht="12.75">
      <c r="A6" s="173" t="s">
        <v>323</v>
      </c>
      <c r="B6" s="61"/>
      <c r="C6" s="61"/>
      <c r="D6" s="61"/>
      <c r="E6" s="61"/>
      <c r="F6" s="61"/>
      <c r="G6" s="113"/>
      <c r="H6" s="62"/>
    </row>
    <row r="7" spans="1:8" ht="12.75">
      <c r="A7" s="173" t="s">
        <v>324</v>
      </c>
      <c r="B7" s="212"/>
      <c r="C7" s="212"/>
      <c r="D7" s="212"/>
      <c r="E7" s="212"/>
      <c r="F7" s="212"/>
      <c r="G7" s="213"/>
      <c r="H7" s="214"/>
    </row>
    <row r="8" spans="1:8" ht="12.75">
      <c r="A8" s="173" t="s">
        <v>325</v>
      </c>
      <c r="B8" s="61"/>
      <c r="C8" s="61"/>
      <c r="D8" s="61"/>
      <c r="E8" s="61"/>
      <c r="F8" s="61"/>
      <c r="G8" s="113"/>
      <c r="H8" s="62"/>
    </row>
    <row r="9" spans="1:8" ht="12.75">
      <c r="A9" s="173" t="s">
        <v>326</v>
      </c>
      <c r="B9" s="212"/>
      <c r="C9" s="212"/>
      <c r="D9" s="212"/>
      <c r="E9" s="212"/>
      <c r="F9" s="212"/>
      <c r="G9" s="213"/>
      <c r="H9" s="214"/>
    </row>
    <row r="10" spans="1:8" ht="12.75">
      <c r="A10" s="173" t="s">
        <v>327</v>
      </c>
      <c r="B10" s="61"/>
      <c r="C10" s="61"/>
      <c r="D10" s="61"/>
      <c r="E10" s="61"/>
      <c r="F10" s="61"/>
      <c r="G10" s="113"/>
      <c r="H10" s="62"/>
    </row>
    <row r="11" spans="1:8" ht="12.75">
      <c r="A11" s="173" t="s">
        <v>328</v>
      </c>
      <c r="B11" s="91"/>
      <c r="C11" s="91"/>
      <c r="D11" s="91"/>
      <c r="E11" s="91"/>
      <c r="F11" s="91"/>
      <c r="G11" s="211"/>
      <c r="H11" s="92"/>
    </row>
    <row r="12" spans="1:8" ht="12.75">
      <c r="A12" s="173"/>
      <c r="B12" s="61"/>
      <c r="C12" s="61"/>
      <c r="D12" s="61"/>
      <c r="E12" s="61"/>
      <c r="F12" s="61"/>
      <c r="G12" s="113"/>
      <c r="H12" s="62"/>
    </row>
    <row r="13" spans="1:8" ht="12.75">
      <c r="A13" s="181" t="s">
        <v>329</v>
      </c>
      <c r="B13" s="61"/>
      <c r="C13" s="61"/>
      <c r="D13" s="61"/>
      <c r="E13" s="61"/>
      <c r="F13" s="61"/>
      <c r="G13" s="113"/>
      <c r="H13" s="62"/>
    </row>
    <row r="14" spans="1:8" ht="12.75">
      <c r="A14" s="173" t="s">
        <v>330</v>
      </c>
      <c r="B14" s="212"/>
      <c r="C14" s="212"/>
      <c r="D14" s="212"/>
      <c r="E14" s="212"/>
      <c r="F14" s="212"/>
      <c r="G14" s="213"/>
      <c r="H14" s="214"/>
    </row>
    <row r="15" spans="1:8" ht="12.75">
      <c r="A15" s="173" t="s">
        <v>253</v>
      </c>
      <c r="B15" s="61"/>
      <c r="C15" s="61"/>
      <c r="D15" s="61"/>
      <c r="E15" s="61"/>
      <c r="F15" s="61"/>
      <c r="G15" s="113"/>
      <c r="H15" s="62"/>
    </row>
    <row r="16" spans="1:8" ht="12.75">
      <c r="A16" s="173" t="s">
        <v>331</v>
      </c>
      <c r="B16" s="61"/>
      <c r="C16" s="61"/>
      <c r="D16" s="61"/>
      <c r="E16" s="61"/>
      <c r="F16" s="61"/>
      <c r="G16" s="113"/>
      <c r="H16" s="62"/>
    </row>
    <row r="17" spans="1:8" ht="12.75">
      <c r="A17" s="173" t="s">
        <v>332</v>
      </c>
      <c r="B17" s="61"/>
      <c r="C17" s="61"/>
      <c r="D17" s="61"/>
      <c r="E17" s="61"/>
      <c r="F17" s="61"/>
      <c r="G17" s="113"/>
      <c r="H17" s="62"/>
    </row>
    <row r="18" spans="1:8" ht="12.75">
      <c r="A18" s="173" t="s">
        <v>333</v>
      </c>
      <c r="B18" s="212"/>
      <c r="C18" s="212"/>
      <c r="D18" s="212"/>
      <c r="E18" s="212"/>
      <c r="F18" s="212"/>
      <c r="G18" s="213"/>
      <c r="H18" s="214"/>
    </row>
    <row r="19" spans="1:8" ht="12.75">
      <c r="A19" s="173" t="s">
        <v>334</v>
      </c>
      <c r="B19" s="61"/>
      <c r="C19" s="61"/>
      <c r="D19" s="61"/>
      <c r="E19" s="61"/>
      <c r="F19" s="61"/>
      <c r="G19" s="113"/>
      <c r="H19" s="62"/>
    </row>
    <row r="20" spans="1:8" ht="12.75">
      <c r="A20" s="173" t="s">
        <v>335</v>
      </c>
      <c r="B20" s="212"/>
      <c r="C20" s="212"/>
      <c r="D20" s="212"/>
      <c r="E20" s="212"/>
      <c r="F20" s="212"/>
      <c r="G20" s="213"/>
      <c r="H20" s="214"/>
    </row>
    <row r="21" spans="1:8" ht="12.75">
      <c r="A21" s="173" t="s">
        <v>336</v>
      </c>
      <c r="B21" s="61"/>
      <c r="C21" s="61"/>
      <c r="D21" s="61"/>
      <c r="E21" s="61"/>
      <c r="F21" s="61"/>
      <c r="G21" s="113"/>
      <c r="H21" s="62"/>
    </row>
    <row r="22" spans="1:8" ht="12.75">
      <c r="A22" s="173" t="s">
        <v>337</v>
      </c>
      <c r="B22" s="91"/>
      <c r="C22" s="91"/>
      <c r="D22" s="91"/>
      <c r="E22" s="91"/>
      <c r="F22" s="91"/>
      <c r="G22" s="211"/>
      <c r="H22" s="92"/>
    </row>
    <row r="23" spans="1:8" ht="12.75">
      <c r="A23" s="173"/>
      <c r="B23" s="84"/>
      <c r="C23" s="84"/>
      <c r="D23" s="84"/>
      <c r="E23" s="84"/>
      <c r="F23" s="84"/>
      <c r="G23" s="114"/>
      <c r="H23" s="85"/>
    </row>
    <row r="24" spans="1:8" ht="12.75">
      <c r="A24" s="181" t="s">
        <v>338</v>
      </c>
      <c r="B24" s="61"/>
      <c r="C24" s="61"/>
      <c r="D24" s="61"/>
      <c r="E24" s="61"/>
      <c r="F24" s="61"/>
      <c r="G24" s="113"/>
      <c r="H24" s="62"/>
    </row>
    <row r="25" spans="1:8" ht="12.75">
      <c r="A25" s="181" t="s">
        <v>339</v>
      </c>
      <c r="B25" s="61"/>
      <c r="C25" s="61"/>
      <c r="D25" s="61"/>
      <c r="E25" s="61"/>
      <c r="F25" s="61"/>
      <c r="G25" s="113"/>
      <c r="H25" s="62"/>
    </row>
    <row r="26" spans="1:8" ht="12.75">
      <c r="A26" s="181"/>
      <c r="B26" s="84"/>
      <c r="C26" s="84"/>
      <c r="D26" s="84"/>
      <c r="E26" s="84"/>
      <c r="F26" s="84"/>
      <c r="G26" s="114"/>
      <c r="H26" s="85"/>
    </row>
    <row r="27" spans="1:8" ht="12.75">
      <c r="A27" s="181" t="s">
        <v>340</v>
      </c>
      <c r="B27" s="93"/>
      <c r="C27" s="93"/>
      <c r="D27" s="93"/>
      <c r="E27" s="93"/>
      <c r="F27" s="93"/>
      <c r="G27" s="215"/>
      <c r="H27" s="94"/>
    </row>
    <row r="28" spans="1:14" ht="12.75">
      <c r="A28" s="189" t="s">
        <v>341</v>
      </c>
      <c r="B28" s="29"/>
      <c r="C28" s="29"/>
      <c r="D28" s="29"/>
      <c r="E28" s="29"/>
      <c r="F28" s="29"/>
      <c r="G28" s="216"/>
      <c r="H28" s="51"/>
      <c r="I28" s="173"/>
      <c r="J28" s="173"/>
      <c r="K28" s="173"/>
      <c r="L28" s="173"/>
      <c r="M28" s="173"/>
      <c r="N28" s="173"/>
    </row>
  </sheetData>
  <sheetProtection selectLockedCells="1" selectUnlockedCells="1"/>
  <printOptions/>
  <pageMargins left="0.32013888888888886" right="0.75" top="0.6" bottom="0.24027777777777778" header="0.5118055555555555" footer="0.5118055555555555"/>
  <pageSetup fitToHeight="4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7.7109375" style="173" customWidth="1"/>
    <col min="2" max="7" width="14.8515625" style="173" customWidth="1"/>
    <col min="8" max="8" width="17.421875" style="173" customWidth="1"/>
    <col min="9" max="16384" width="11.421875" style="173" customWidth="1"/>
  </cols>
  <sheetData>
    <row r="1" spans="1:5" ht="12.75">
      <c r="A1" s="1" t="s">
        <v>0</v>
      </c>
      <c r="B1"/>
      <c r="C1"/>
      <c r="D1"/>
      <c r="E1" s="2" t="str">
        <f>InfoInicial!E1</f>
        <v>FIDEOS</v>
      </c>
    </row>
    <row r="3" spans="1:7" ht="15.75">
      <c r="A3" s="203" t="s">
        <v>342</v>
      </c>
      <c r="B3" s="204"/>
      <c r="C3" s="204"/>
      <c r="D3" s="204"/>
      <c r="E3" s="204"/>
      <c r="F3" s="204"/>
      <c r="G3" s="206"/>
    </row>
    <row r="4" spans="1:7" ht="12.75">
      <c r="A4" s="217"/>
      <c r="B4" s="218" t="s">
        <v>46</v>
      </c>
      <c r="C4" s="218" t="s">
        <v>47</v>
      </c>
      <c r="D4" s="218" t="s">
        <v>88</v>
      </c>
      <c r="E4" s="218" t="s">
        <v>89</v>
      </c>
      <c r="F4" s="218" t="s">
        <v>90</v>
      </c>
      <c r="G4" s="219" t="s">
        <v>91</v>
      </c>
    </row>
    <row r="5" spans="1:7" ht="12.75">
      <c r="A5" s="220" t="s">
        <v>343</v>
      </c>
      <c r="B5" s="221"/>
      <c r="C5" s="221"/>
      <c r="D5" s="221"/>
      <c r="E5" s="221"/>
      <c r="F5" s="221"/>
      <c r="G5" s="222"/>
    </row>
    <row r="6" spans="1:7" ht="12.75">
      <c r="A6" s="187" t="s">
        <v>344</v>
      </c>
      <c r="B6" s="84"/>
      <c r="C6" s="84"/>
      <c r="D6" s="84"/>
      <c r="E6" s="84"/>
      <c r="F6" s="84"/>
      <c r="G6" s="85"/>
    </row>
    <row r="7" spans="1:7" ht="12.75">
      <c r="A7" s="207" t="s">
        <v>345</v>
      </c>
      <c r="B7" s="212"/>
      <c r="C7" s="212"/>
      <c r="D7" s="212"/>
      <c r="E7" s="212"/>
      <c r="F7" s="212"/>
      <c r="G7" s="214"/>
    </row>
    <row r="8" spans="1:7" ht="12.75">
      <c r="A8" s="207" t="s">
        <v>346</v>
      </c>
      <c r="B8" s="61"/>
      <c r="C8" s="61"/>
      <c r="D8" s="61"/>
      <c r="E8" s="61"/>
      <c r="F8" s="61"/>
      <c r="G8" s="62"/>
    </row>
    <row r="9" spans="1:7" ht="12.75">
      <c r="A9" s="187" t="s">
        <v>347</v>
      </c>
      <c r="B9" s="212"/>
      <c r="C9" s="212"/>
      <c r="D9" s="212"/>
      <c r="E9" s="212"/>
      <c r="F9" s="212"/>
      <c r="G9" s="214"/>
    </row>
    <row r="10" spans="1:7" ht="12.75">
      <c r="A10" s="187" t="s">
        <v>348</v>
      </c>
      <c r="B10" s="61"/>
      <c r="C10" s="61"/>
      <c r="D10" s="61"/>
      <c r="E10" s="61"/>
      <c r="F10" s="61"/>
      <c r="G10" s="62"/>
    </row>
    <row r="11" spans="1:7" ht="12.75">
      <c r="A11" s="187" t="s">
        <v>349</v>
      </c>
      <c r="B11" s="91"/>
      <c r="C11" s="91"/>
      <c r="D11" s="91"/>
      <c r="E11" s="91"/>
      <c r="F11" s="91"/>
      <c r="G11" s="92"/>
    </row>
    <row r="12" spans="1:7" ht="12.75">
      <c r="A12" s="187" t="s">
        <v>350</v>
      </c>
      <c r="B12" s="91"/>
      <c r="C12" s="91"/>
      <c r="D12" s="91"/>
      <c r="E12" s="91"/>
      <c r="F12" s="91"/>
      <c r="G12" s="92"/>
    </row>
    <row r="13" spans="1:7" ht="12.75">
      <c r="A13" s="187" t="s">
        <v>351</v>
      </c>
      <c r="B13" s="223"/>
      <c r="C13" s="223"/>
      <c r="D13" s="223"/>
      <c r="E13" s="223"/>
      <c r="F13" s="223"/>
      <c r="G13" s="224"/>
    </row>
    <row r="14" spans="1:7" ht="12.75">
      <c r="A14" s="207" t="s">
        <v>352</v>
      </c>
      <c r="B14" s="61"/>
      <c r="C14" s="61"/>
      <c r="D14" s="61"/>
      <c r="E14" s="61"/>
      <c r="F14" s="61"/>
      <c r="G14" s="62"/>
    </row>
    <row r="15" spans="1:7" ht="12.75">
      <c r="A15" s="207" t="s">
        <v>353</v>
      </c>
      <c r="B15" s="212"/>
      <c r="C15" s="212"/>
      <c r="D15" s="212"/>
      <c r="E15" s="212"/>
      <c r="F15" s="212"/>
      <c r="G15" s="214"/>
    </row>
    <row r="16" spans="1:7" ht="12.75">
      <c r="A16" s="207" t="s">
        <v>354</v>
      </c>
      <c r="B16" s="61"/>
      <c r="C16" s="61"/>
      <c r="D16" s="61"/>
      <c r="E16" s="61"/>
      <c r="F16" s="61"/>
      <c r="G16" s="62"/>
    </row>
    <row r="17" spans="1:7" ht="12.75">
      <c r="A17" s="207" t="s">
        <v>355</v>
      </c>
      <c r="B17" s="61"/>
      <c r="C17" s="61"/>
      <c r="D17" s="61"/>
      <c r="E17" s="61"/>
      <c r="F17" s="61"/>
      <c r="G17" s="62"/>
    </row>
    <row r="18" spans="1:7" ht="12.75">
      <c r="A18" s="187" t="s">
        <v>80</v>
      </c>
      <c r="B18" s="212"/>
      <c r="C18" s="212"/>
      <c r="D18" s="212"/>
      <c r="E18" s="212"/>
      <c r="F18" s="212"/>
      <c r="G18" s="214"/>
    </row>
    <row r="19" spans="1:7" ht="12.75">
      <c r="A19" s="207" t="s">
        <v>352</v>
      </c>
      <c r="B19" s="61"/>
      <c r="C19" s="61"/>
      <c r="D19" s="61"/>
      <c r="E19" s="61"/>
      <c r="F19" s="61"/>
      <c r="G19" s="62"/>
    </row>
    <row r="20" spans="1:7" ht="12.75">
      <c r="A20" s="207" t="s">
        <v>356</v>
      </c>
      <c r="B20" s="61"/>
      <c r="C20" s="61"/>
      <c r="D20" s="61"/>
      <c r="E20" s="61"/>
      <c r="F20" s="61"/>
      <c r="G20" s="62"/>
    </row>
    <row r="21" spans="1:7" ht="12.75">
      <c r="A21" s="207" t="s">
        <v>357</v>
      </c>
      <c r="B21" s="61"/>
      <c r="C21" s="61"/>
      <c r="D21" s="61"/>
      <c r="E21" s="61"/>
      <c r="F21" s="61"/>
      <c r="G21" s="62"/>
    </row>
    <row r="22" spans="1:7" ht="12.75">
      <c r="A22" s="207" t="s">
        <v>355</v>
      </c>
      <c r="B22" s="212"/>
      <c r="C22" s="212"/>
      <c r="D22" s="212"/>
      <c r="E22" s="212"/>
      <c r="F22" s="212"/>
      <c r="G22" s="214"/>
    </row>
    <row r="23" spans="1:7" ht="12.75">
      <c r="A23" s="187" t="s">
        <v>358</v>
      </c>
      <c r="B23" s="212"/>
      <c r="C23" s="212"/>
      <c r="D23" s="212"/>
      <c r="E23" s="212"/>
      <c r="F23" s="212"/>
      <c r="G23" s="214"/>
    </row>
    <row r="24" spans="1:7" ht="12.75">
      <c r="A24" s="187" t="s">
        <v>359</v>
      </c>
      <c r="B24" s="212"/>
      <c r="C24" s="212"/>
      <c r="D24" s="212"/>
      <c r="E24" s="212"/>
      <c r="F24" s="212"/>
      <c r="G24" s="214"/>
    </row>
    <row r="25" spans="1:7" ht="12.75">
      <c r="A25" s="187" t="s">
        <v>360</v>
      </c>
      <c r="B25" s="212"/>
      <c r="C25" s="212"/>
      <c r="D25" s="212"/>
      <c r="E25" s="212"/>
      <c r="F25" s="212"/>
      <c r="G25" s="214"/>
    </row>
    <row r="26" spans="1:7" ht="12.75">
      <c r="A26" s="187" t="s">
        <v>361</v>
      </c>
      <c r="B26" s="212"/>
      <c r="C26" s="212"/>
      <c r="D26" s="212"/>
      <c r="E26" s="212"/>
      <c r="F26" s="212"/>
      <c r="G26" s="214"/>
    </row>
    <row r="27" spans="1:7" ht="12.75">
      <c r="A27" s="187" t="s">
        <v>362</v>
      </c>
      <c r="B27" s="61"/>
      <c r="C27" s="61"/>
      <c r="D27" s="61"/>
      <c r="E27" s="61"/>
      <c r="F27" s="61"/>
      <c r="G27" s="62"/>
    </row>
    <row r="28" spans="1:7" ht="12.75">
      <c r="A28" s="187" t="s">
        <v>363</v>
      </c>
      <c r="B28" s="61"/>
      <c r="C28" s="61"/>
      <c r="D28" s="61"/>
      <c r="E28" s="61"/>
      <c r="F28" s="61"/>
      <c r="G28" s="62"/>
    </row>
    <row r="29" spans="1:7" ht="12.75">
      <c r="A29" s="187" t="s">
        <v>362</v>
      </c>
      <c r="B29" s="212"/>
      <c r="C29" s="212"/>
      <c r="D29" s="212"/>
      <c r="E29" s="212"/>
      <c r="F29" s="212"/>
      <c r="G29" s="214"/>
    </row>
    <row r="30" spans="1:7" ht="12.75">
      <c r="A30" s="187" t="s">
        <v>364</v>
      </c>
      <c r="B30" s="61"/>
      <c r="C30" s="61"/>
      <c r="D30" s="61"/>
      <c r="E30" s="61"/>
      <c r="F30" s="61"/>
      <c r="G30" s="62"/>
    </row>
    <row r="31" spans="1:7" ht="12.75">
      <c r="A31" s="187" t="s">
        <v>365</v>
      </c>
      <c r="B31" s="61"/>
      <c r="C31" s="61"/>
      <c r="D31" s="61"/>
      <c r="E31" s="61"/>
      <c r="F31" s="61"/>
      <c r="G31" s="62"/>
    </row>
    <row r="32" spans="1:7" ht="12.75">
      <c r="A32" s="187" t="s">
        <v>366</v>
      </c>
      <c r="B32" s="61"/>
      <c r="C32" s="61"/>
      <c r="D32" s="61"/>
      <c r="E32" s="61"/>
      <c r="F32" s="61"/>
      <c r="G32" s="62"/>
    </row>
    <row r="33" spans="1:7" ht="12.75">
      <c r="A33" s="187" t="s">
        <v>367</v>
      </c>
      <c r="B33" s="212"/>
      <c r="C33" s="212"/>
      <c r="D33" s="212"/>
      <c r="E33" s="212"/>
      <c r="F33" s="212"/>
      <c r="G33" s="214"/>
    </row>
    <row r="34" spans="1:7" ht="12.75">
      <c r="A34" s="187" t="s">
        <v>368</v>
      </c>
      <c r="B34" s="61"/>
      <c r="C34" s="61"/>
      <c r="D34" s="61"/>
      <c r="E34" s="61"/>
      <c r="F34" s="61"/>
      <c r="G34" s="62"/>
    </row>
    <row r="35" spans="1:7" ht="12.75">
      <c r="A35" s="189" t="s">
        <v>369</v>
      </c>
      <c r="B35" s="29"/>
      <c r="C35" s="29"/>
      <c r="D35" s="29"/>
      <c r="E35" s="29"/>
      <c r="F35" s="29"/>
      <c r="G35" s="51"/>
    </row>
  </sheetData>
  <sheetProtection selectLockedCells="1" selectUnlockedCells="1"/>
  <printOptions/>
  <pageMargins left="0.32013888888888886" right="0.75" top="0.6" bottom="0.24027777777777778" header="0.5118055555555555" footer="0.5118055555555555"/>
  <pageSetup fitToHeight="4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8.00390625" style="173" customWidth="1"/>
    <col min="2" max="14" width="14.8515625" style="173" customWidth="1"/>
    <col min="15" max="15" width="17.421875" style="173" customWidth="1"/>
    <col min="16" max="16384" width="11.421875" style="173" customWidth="1"/>
  </cols>
  <sheetData>
    <row r="1" spans="1:7" ht="12.75">
      <c r="A1" s="1" t="s">
        <v>0</v>
      </c>
      <c r="B1"/>
      <c r="C1"/>
      <c r="D1"/>
      <c r="G1" s="2" t="str">
        <f>InfoInicial!E1</f>
        <v>FIDEOS</v>
      </c>
    </row>
    <row r="3" spans="1:14" ht="15.75">
      <c r="A3" s="174" t="s">
        <v>370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</row>
    <row r="4" spans="1:14" ht="25.5">
      <c r="A4" s="194" t="s">
        <v>230</v>
      </c>
      <c r="B4" s="195" t="s">
        <v>330</v>
      </c>
      <c r="C4" s="195" t="s">
        <v>371</v>
      </c>
      <c r="D4" s="195" t="s">
        <v>233</v>
      </c>
      <c r="E4" s="195" t="s">
        <v>3</v>
      </c>
      <c r="F4" s="195" t="s">
        <v>234</v>
      </c>
      <c r="G4" s="195" t="s">
        <v>235</v>
      </c>
      <c r="H4" s="195" t="s">
        <v>372</v>
      </c>
      <c r="I4" s="195" t="s">
        <v>373</v>
      </c>
      <c r="J4" s="195" t="s">
        <v>95</v>
      </c>
      <c r="K4" s="195" t="s">
        <v>237</v>
      </c>
      <c r="L4" s="195" t="s">
        <v>238</v>
      </c>
      <c r="M4" s="225" t="s">
        <v>239</v>
      </c>
      <c r="N4" s="226" t="s">
        <v>240</v>
      </c>
    </row>
    <row r="5" spans="1:14" ht="12.75">
      <c r="A5" s="227">
        <v>0</v>
      </c>
      <c r="B5" s="133"/>
      <c r="C5" s="59"/>
      <c r="D5" s="59"/>
      <c r="E5" s="59"/>
      <c r="F5" s="59"/>
      <c r="G5" s="59"/>
      <c r="H5" s="59"/>
      <c r="I5" s="59"/>
      <c r="J5" s="59"/>
      <c r="K5" s="59"/>
      <c r="L5" s="59"/>
      <c r="M5" s="134"/>
      <c r="N5" s="60"/>
    </row>
    <row r="6" spans="1:14" ht="12.75">
      <c r="A6" s="228">
        <v>1</v>
      </c>
      <c r="B6" s="124"/>
      <c r="C6" s="61"/>
      <c r="D6" s="61"/>
      <c r="E6" s="61"/>
      <c r="F6" s="61"/>
      <c r="G6" s="61"/>
      <c r="H6" s="61"/>
      <c r="I6" s="61"/>
      <c r="J6" s="61"/>
      <c r="K6" s="61"/>
      <c r="L6" s="61"/>
      <c r="M6" s="113"/>
      <c r="N6" s="62"/>
    </row>
    <row r="7" spans="1:14" ht="12.75">
      <c r="A7" s="228">
        <v>2</v>
      </c>
      <c r="B7" s="124"/>
      <c r="C7" s="61"/>
      <c r="D7" s="61"/>
      <c r="E7" s="61"/>
      <c r="F7" s="61"/>
      <c r="G7" s="61"/>
      <c r="H7" s="61"/>
      <c r="I7" s="61"/>
      <c r="J7" s="61"/>
      <c r="K7" s="61"/>
      <c r="L7" s="61"/>
      <c r="M7" s="113"/>
      <c r="N7" s="62"/>
    </row>
    <row r="8" spans="1:14" ht="12.75">
      <c r="A8" s="228">
        <v>3</v>
      </c>
      <c r="B8" s="124"/>
      <c r="C8" s="61"/>
      <c r="D8" s="61"/>
      <c r="E8" s="61"/>
      <c r="F8" s="61"/>
      <c r="G8" s="61"/>
      <c r="H8" s="61"/>
      <c r="I8" s="61"/>
      <c r="J8" s="61"/>
      <c r="K8" s="61"/>
      <c r="L8" s="61"/>
      <c r="M8" s="113"/>
      <c r="N8" s="62"/>
    </row>
    <row r="9" spans="1:14" ht="12.75">
      <c r="A9" s="228">
        <v>4</v>
      </c>
      <c r="B9" s="124"/>
      <c r="C9" s="61"/>
      <c r="D9" s="61"/>
      <c r="E9" s="61"/>
      <c r="F9" s="61"/>
      <c r="G9" s="61"/>
      <c r="H9" s="61"/>
      <c r="I9" s="61"/>
      <c r="J9" s="61"/>
      <c r="K9" s="61"/>
      <c r="L9" s="61"/>
      <c r="M9" s="113"/>
      <c r="N9" s="62"/>
    </row>
    <row r="10" spans="1:14" ht="12.75">
      <c r="A10" s="228">
        <v>5</v>
      </c>
      <c r="B10" s="124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13"/>
      <c r="N10" s="62"/>
    </row>
    <row r="11" spans="1:14" ht="12.75">
      <c r="A11" s="228"/>
      <c r="B11" s="126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114"/>
      <c r="N11" s="85"/>
    </row>
    <row r="12" spans="1:14" ht="12.75">
      <c r="A12" s="229" t="s">
        <v>241</v>
      </c>
      <c r="B12" s="129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115"/>
      <c r="N12" s="69"/>
    </row>
    <row r="14" spans="3:4" ht="12.75">
      <c r="C14" s="230" t="s">
        <v>242</v>
      </c>
      <c r="D14" s="138"/>
    </row>
    <row r="15" spans="1:5" ht="12.75">
      <c r="A15" s="181"/>
      <c r="C15" s="230" t="s">
        <v>243</v>
      </c>
      <c r="D15" s="139"/>
      <c r="E15" s="173" t="s">
        <v>244</v>
      </c>
    </row>
    <row r="16" spans="3:4" ht="12.75">
      <c r="C16" s="230" t="s">
        <v>374</v>
      </c>
      <c r="D16" s="140"/>
    </row>
    <row r="17" spans="1:15" ht="12.75">
      <c r="A17" s="231"/>
      <c r="B17" s="232"/>
      <c r="C17" s="232"/>
      <c r="D17" s="232"/>
      <c r="E17" s="233"/>
      <c r="F17" s="234"/>
      <c r="G17" s="234"/>
      <c r="H17" s="234"/>
      <c r="I17" s="234"/>
      <c r="J17" s="232"/>
      <c r="K17" s="234"/>
      <c r="L17" s="234"/>
      <c r="M17" s="234"/>
      <c r="N17" s="234"/>
      <c r="O17" s="232"/>
    </row>
    <row r="18" spans="1:14" ht="15.75">
      <c r="A18" s="235"/>
      <c r="B18" s="234"/>
      <c r="C18" s="236"/>
      <c r="D18" s="234"/>
      <c r="E18" s="237"/>
      <c r="F18" s="234"/>
      <c r="G18" s="234"/>
      <c r="H18" s="234"/>
      <c r="I18" s="234"/>
      <c r="J18" s="234"/>
      <c r="K18" s="234"/>
      <c r="L18" s="234"/>
      <c r="M18" s="234"/>
      <c r="N18" s="234"/>
    </row>
    <row r="20" ht="12.75">
      <c r="A20" s="238"/>
    </row>
    <row r="21" spans="1:8" ht="15.75">
      <c r="A21" s="174" t="s">
        <v>375</v>
      </c>
      <c r="B21" s="175"/>
      <c r="C21" s="175"/>
      <c r="D21" s="175"/>
      <c r="E21" s="175"/>
      <c r="F21" s="175"/>
      <c r="G21" s="175"/>
      <c r="H21" s="176"/>
    </row>
    <row r="22" spans="1:8" ht="38.25">
      <c r="A22" s="194" t="s">
        <v>230</v>
      </c>
      <c r="B22" s="195" t="s">
        <v>376</v>
      </c>
      <c r="C22" s="195" t="s">
        <v>235</v>
      </c>
      <c r="D22" s="195" t="s">
        <v>335</v>
      </c>
      <c r="E22" s="195" t="s">
        <v>377</v>
      </c>
      <c r="F22" s="195" t="s">
        <v>238</v>
      </c>
      <c r="G22" s="225" t="s">
        <v>239</v>
      </c>
      <c r="H22" s="226" t="s">
        <v>240</v>
      </c>
    </row>
    <row r="23" spans="1:8" ht="12.75">
      <c r="A23" s="227">
        <v>0</v>
      </c>
      <c r="B23" s="133"/>
      <c r="C23" s="59"/>
      <c r="D23" s="59"/>
      <c r="E23" s="59"/>
      <c r="F23" s="59"/>
      <c r="G23" s="134"/>
      <c r="H23" s="60"/>
    </row>
    <row r="24" spans="1:8" ht="12.75">
      <c r="A24" s="228">
        <v>1</v>
      </c>
      <c r="B24" s="124"/>
      <c r="C24" s="61"/>
      <c r="D24" s="61"/>
      <c r="E24" s="61"/>
      <c r="F24" s="61"/>
      <c r="G24" s="113"/>
      <c r="H24" s="62"/>
    </row>
    <row r="25" spans="1:8" ht="12.75">
      <c r="A25" s="228">
        <v>2</v>
      </c>
      <c r="B25" s="124"/>
      <c r="C25" s="61"/>
      <c r="D25" s="61"/>
      <c r="E25" s="61"/>
      <c r="F25" s="61"/>
      <c r="G25" s="113"/>
      <c r="H25" s="62"/>
    </row>
    <row r="26" spans="1:8" ht="12.75">
      <c r="A26" s="228">
        <v>3</v>
      </c>
      <c r="B26" s="124"/>
      <c r="C26" s="61"/>
      <c r="D26" s="61"/>
      <c r="E26" s="61"/>
      <c r="F26" s="61"/>
      <c r="G26" s="113"/>
      <c r="H26" s="62"/>
    </row>
    <row r="27" spans="1:8" ht="12.75">
      <c r="A27" s="228">
        <v>4</v>
      </c>
      <c r="B27" s="124"/>
      <c r="C27" s="61"/>
      <c r="D27" s="61"/>
      <c r="E27" s="61"/>
      <c r="F27" s="61"/>
      <c r="G27" s="113"/>
      <c r="H27" s="62"/>
    </row>
    <row r="28" spans="1:8" ht="12.75">
      <c r="A28" s="228">
        <v>5</v>
      </c>
      <c r="B28" s="124"/>
      <c r="C28" s="61"/>
      <c r="D28" s="61"/>
      <c r="E28" s="61"/>
      <c r="F28" s="61"/>
      <c r="G28" s="113"/>
      <c r="H28" s="62"/>
    </row>
    <row r="29" spans="1:8" ht="12.75">
      <c r="A29" s="228"/>
      <c r="B29" s="126"/>
      <c r="C29" s="84"/>
      <c r="D29" s="84"/>
      <c r="E29" s="84"/>
      <c r="F29" s="84"/>
      <c r="G29" s="114"/>
      <c r="H29" s="85"/>
    </row>
    <row r="30" spans="1:8" ht="12.75">
      <c r="A30" s="229" t="s">
        <v>241</v>
      </c>
      <c r="B30" s="129"/>
      <c r="C30" s="68"/>
      <c r="D30" s="68"/>
      <c r="E30" s="68"/>
      <c r="F30" s="68"/>
      <c r="G30" s="115"/>
      <c r="H30" s="69"/>
    </row>
    <row r="33" spans="3:5" ht="12.75">
      <c r="C33" s="230" t="s">
        <v>242</v>
      </c>
      <c r="D33" s="138"/>
      <c r="E33" s="173" t="s">
        <v>378</v>
      </c>
    </row>
    <row r="34" spans="3:5" ht="12.75">
      <c r="C34" s="230" t="s">
        <v>243</v>
      </c>
      <c r="D34" s="139"/>
      <c r="E34" s="173" t="s">
        <v>379</v>
      </c>
    </row>
    <row r="35" spans="3:4" ht="12.75">
      <c r="C35" s="230" t="s">
        <v>380</v>
      </c>
      <c r="D35" s="140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7.421875" style="0" bestFit="1" customWidth="1"/>
    <col min="10" max="10" width="3.00390625" style="0" customWidth="1"/>
  </cols>
  <sheetData>
    <row r="1" spans="1:9" ht="15">
      <c r="A1" s="264"/>
      <c r="B1" s="264"/>
      <c r="C1" s="264"/>
      <c r="D1" s="264"/>
      <c r="E1" s="264" t="s">
        <v>47</v>
      </c>
      <c r="F1" s="264" t="s">
        <v>88</v>
      </c>
      <c r="G1" s="264" t="s">
        <v>390</v>
      </c>
      <c r="H1" s="264" t="s">
        <v>90</v>
      </c>
      <c r="I1" s="264" t="s">
        <v>91</v>
      </c>
    </row>
    <row r="2" spans="1:9" ht="15">
      <c r="A2" s="264"/>
      <c r="B2" s="264" t="s">
        <v>391</v>
      </c>
      <c r="C2" s="264" t="s">
        <v>392</v>
      </c>
      <c r="D2" s="264" t="s">
        <v>393</v>
      </c>
      <c r="E2" s="264" t="s">
        <v>394</v>
      </c>
      <c r="F2" s="264" t="s">
        <v>394</v>
      </c>
      <c r="G2" s="264" t="s">
        <v>394</v>
      </c>
      <c r="H2" s="264" t="s">
        <v>394</v>
      </c>
      <c r="I2" s="264" t="s">
        <v>394</v>
      </c>
    </row>
    <row r="3" spans="1:9" ht="15">
      <c r="A3" s="264" t="s">
        <v>395</v>
      </c>
      <c r="B3" s="264">
        <v>9600</v>
      </c>
      <c r="C3" s="264">
        <v>115200</v>
      </c>
      <c r="D3" s="264">
        <v>12</v>
      </c>
      <c r="E3" s="264">
        <v>1382400</v>
      </c>
      <c r="F3" s="264">
        <v>2211840</v>
      </c>
      <c r="G3" s="264">
        <v>2211840</v>
      </c>
      <c r="H3" s="264">
        <v>2211840</v>
      </c>
      <c r="I3" s="264">
        <v>2211840</v>
      </c>
    </row>
    <row r="4" spans="1:9" ht="15">
      <c r="A4" s="264" t="s">
        <v>396</v>
      </c>
      <c r="B4" s="264">
        <v>2700</v>
      </c>
      <c r="C4" s="264">
        <v>32400</v>
      </c>
      <c r="D4" s="264">
        <v>17</v>
      </c>
      <c r="E4" s="264">
        <v>550800</v>
      </c>
      <c r="F4" s="264">
        <v>881280</v>
      </c>
      <c r="G4" s="264">
        <v>881280</v>
      </c>
      <c r="H4" s="264">
        <v>881280</v>
      </c>
      <c r="I4" s="264">
        <v>881280</v>
      </c>
    </row>
    <row r="5" spans="1:9" ht="15">
      <c r="A5" s="264" t="s">
        <v>397</v>
      </c>
      <c r="B5" s="264">
        <v>333</v>
      </c>
      <c r="C5" s="264">
        <v>3996</v>
      </c>
      <c r="D5" s="264">
        <v>160</v>
      </c>
      <c r="E5" s="264">
        <v>639360</v>
      </c>
      <c r="F5" s="264">
        <v>1022976</v>
      </c>
      <c r="G5" s="264">
        <v>1022976</v>
      </c>
      <c r="H5" s="264">
        <v>1022976</v>
      </c>
      <c r="I5" s="264">
        <v>1022976</v>
      </c>
    </row>
    <row r="6" spans="1:9" ht="15">
      <c r="A6" s="264" t="s">
        <v>398</v>
      </c>
      <c r="B6" s="264"/>
      <c r="C6" s="264">
        <v>500000</v>
      </c>
      <c r="D6" s="264">
        <v>5</v>
      </c>
      <c r="E6" s="264">
        <v>2500000</v>
      </c>
      <c r="F6" s="264">
        <v>4000000</v>
      </c>
      <c r="G6" s="264">
        <v>4000000</v>
      </c>
      <c r="H6" s="264">
        <v>4000000</v>
      </c>
      <c r="I6" s="264">
        <v>4000000</v>
      </c>
    </row>
    <row r="7" spans="1:9" ht="15">
      <c r="A7" s="264" t="s">
        <v>399</v>
      </c>
      <c r="B7" s="264"/>
      <c r="C7" s="264">
        <v>5495</v>
      </c>
      <c r="D7" s="264">
        <v>16</v>
      </c>
      <c r="E7" s="264">
        <v>87920</v>
      </c>
      <c r="F7" s="264">
        <v>140672</v>
      </c>
      <c r="G7" s="264">
        <v>140672</v>
      </c>
      <c r="H7" s="264">
        <v>140672</v>
      </c>
      <c r="I7" s="264">
        <v>140672</v>
      </c>
    </row>
    <row r="8" spans="1:9" ht="15">
      <c r="A8" s="264" t="s">
        <v>400</v>
      </c>
      <c r="B8" s="264"/>
      <c r="C8" s="264">
        <v>500000</v>
      </c>
      <c r="D8" s="264">
        <v>15</v>
      </c>
      <c r="E8" s="264">
        <v>7500000</v>
      </c>
      <c r="F8" s="264">
        <v>12000000</v>
      </c>
      <c r="G8" s="264">
        <v>12000000</v>
      </c>
      <c r="H8" s="264">
        <v>12000000</v>
      </c>
      <c r="I8" s="264">
        <v>12000000</v>
      </c>
    </row>
    <row r="9" spans="1:9" ht="15">
      <c r="A9" s="266" t="s">
        <v>401</v>
      </c>
      <c r="B9" s="271"/>
      <c r="C9" s="271"/>
      <c r="D9" s="271"/>
      <c r="E9" s="302">
        <f>(75*(200*20*12-75)*4.5)/1000</f>
        <v>16174.6875</v>
      </c>
      <c r="F9" s="257">
        <f>((75*(200*20*12-75)*4.5)/1000)*8/5</f>
        <v>25879.5</v>
      </c>
      <c r="G9" s="257">
        <f>((75*(200*20*12-75)*4.5)/1000)*8/5</f>
        <v>25879.5</v>
      </c>
      <c r="H9" s="257">
        <f>((75*(200*20*12-75)*4.5)/1000)*8/5</f>
        <v>25879.5</v>
      </c>
      <c r="I9" s="257">
        <f>((75*(200*20*12-75)*4.5)/1000)*8/5</f>
        <v>25879.5</v>
      </c>
    </row>
    <row r="10" spans="1:9" ht="15">
      <c r="A10" s="265" t="s">
        <v>150</v>
      </c>
      <c r="B10" s="264"/>
      <c r="C10" s="264"/>
      <c r="D10" s="264">
        <f>SUM(D3:D8)</f>
        <v>225</v>
      </c>
      <c r="E10" s="265">
        <f>SUM(E3:E9)</f>
        <v>12676654.6875</v>
      </c>
      <c r="F10" s="265">
        <f>SUM(F3:F9)</f>
        <v>20282647.5</v>
      </c>
      <c r="G10" s="265">
        <f>SUM(G3:G9)</f>
        <v>20282647.5</v>
      </c>
      <c r="H10" s="265">
        <f>SUM(H3:H9)</f>
        <v>20282647.5</v>
      </c>
      <c r="I10" s="265">
        <f>SUM(I3:I9)</f>
        <v>20282647.5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2">
      <selection activeCell="E10" sqref="E10"/>
    </sheetView>
  </sheetViews>
  <sheetFormatPr defaultColWidth="11.421875" defaultRowHeight="12.75"/>
  <cols>
    <col min="1" max="1" width="32.8515625" style="0" bestFit="1" customWidth="1"/>
    <col min="2" max="2" width="13.140625" style="0" bestFit="1" customWidth="1"/>
    <col min="3" max="3" width="13.7109375" style="0" bestFit="1" customWidth="1"/>
  </cols>
  <sheetData>
    <row r="1" spans="1:4" ht="12.75">
      <c r="A1" s="271"/>
      <c r="B1" s="271" t="s">
        <v>403</v>
      </c>
      <c r="C1" s="271" t="s">
        <v>404</v>
      </c>
      <c r="D1" s="357">
        <f>SUM(C2:C7)</f>
        <v>126000</v>
      </c>
    </row>
    <row r="2" spans="1:4" ht="12.75">
      <c r="A2" s="271" t="s">
        <v>405</v>
      </c>
      <c r="B2" s="271">
        <v>15000</v>
      </c>
      <c r="C2" s="271">
        <f>(B2*1.4)</f>
        <v>21000</v>
      </c>
      <c r="D2" s="357"/>
    </row>
    <row r="3" spans="1:4" ht="12.75">
      <c r="A3" s="271" t="s">
        <v>406</v>
      </c>
      <c r="B3" s="271">
        <v>15000</v>
      </c>
      <c r="C3" s="271">
        <f aca="true" t="shared" si="0" ref="C3:C13">(B3*1.4)</f>
        <v>21000</v>
      </c>
      <c r="D3" s="357"/>
    </row>
    <row r="4" spans="1:4" ht="12.75">
      <c r="A4" s="271" t="s">
        <v>407</v>
      </c>
      <c r="B4" s="271">
        <v>15000</v>
      </c>
      <c r="C4" s="271">
        <f t="shared" si="0"/>
        <v>21000</v>
      </c>
      <c r="D4" s="357"/>
    </row>
    <row r="5" spans="1:4" ht="12.75">
      <c r="A5" s="271" t="s">
        <v>408</v>
      </c>
      <c r="B5" s="271">
        <v>15000</v>
      </c>
      <c r="C5" s="271">
        <f t="shared" si="0"/>
        <v>21000</v>
      </c>
      <c r="D5" s="357"/>
    </row>
    <row r="6" spans="1:4" ht="12.75">
      <c r="A6" s="271" t="s">
        <v>409</v>
      </c>
      <c r="B6" s="271">
        <v>15000</v>
      </c>
      <c r="C6" s="271">
        <f t="shared" si="0"/>
        <v>21000</v>
      </c>
      <c r="D6" s="357"/>
    </row>
    <row r="7" spans="1:4" ht="12.75">
      <c r="A7" s="271" t="s">
        <v>410</v>
      </c>
      <c r="B7" s="271">
        <v>15000</v>
      </c>
      <c r="C7" s="271">
        <f t="shared" si="0"/>
        <v>21000</v>
      </c>
      <c r="D7" s="357"/>
    </row>
    <row r="8" spans="1:3" ht="12.75">
      <c r="A8" s="271"/>
      <c r="B8" s="271"/>
      <c r="C8" s="271"/>
    </row>
    <row r="9" spans="1:4" ht="12.75">
      <c r="A9" s="271" t="s">
        <v>411</v>
      </c>
      <c r="B9" s="271">
        <v>21000</v>
      </c>
      <c r="C9" s="271">
        <f t="shared" si="0"/>
        <v>29399.999999999996</v>
      </c>
      <c r="D9" s="357">
        <f>SUM(C9:C13)</f>
        <v>176400</v>
      </c>
    </row>
    <row r="10" spans="1:4" ht="12.75">
      <c r="A10" s="271" t="s">
        <v>412</v>
      </c>
      <c r="B10" s="271">
        <v>16000</v>
      </c>
      <c r="C10" s="271">
        <f>(B10*1.4)</f>
        <v>22400</v>
      </c>
      <c r="D10" s="357"/>
    </row>
    <row r="11" spans="1:4" ht="12.75">
      <c r="A11" s="271" t="s">
        <v>413</v>
      </c>
      <c r="B11" s="271">
        <v>34000</v>
      </c>
      <c r="C11" s="271">
        <f t="shared" si="0"/>
        <v>47600</v>
      </c>
      <c r="D11" s="357"/>
    </row>
    <row r="12" spans="1:4" ht="12.75">
      <c r="A12" s="271" t="s">
        <v>414</v>
      </c>
      <c r="B12" s="271">
        <v>30000</v>
      </c>
      <c r="C12" s="271">
        <f t="shared" si="0"/>
        <v>42000</v>
      </c>
      <c r="D12" s="357"/>
    </row>
    <row r="13" spans="1:4" ht="12.75">
      <c r="A13" s="271" t="s">
        <v>415</v>
      </c>
      <c r="B13" s="271">
        <v>25000</v>
      </c>
      <c r="C13" s="271">
        <f t="shared" si="0"/>
        <v>35000</v>
      </c>
      <c r="D13" s="357"/>
    </row>
  </sheetData>
  <sheetProtection/>
  <mergeCells count="2">
    <mergeCell ref="D9:D13"/>
    <mergeCell ref="D1:D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4:H25"/>
  <sheetViews>
    <sheetView zoomScalePageLayoutView="0" workbookViewId="0" topLeftCell="A1">
      <selection activeCell="G25" sqref="G25"/>
    </sheetView>
  </sheetViews>
  <sheetFormatPr defaultColWidth="11.421875" defaultRowHeight="12.75"/>
  <cols>
    <col min="3" max="3" width="20.00390625" style="0" customWidth="1"/>
    <col min="4" max="4" width="17.140625" style="0" customWidth="1"/>
    <col min="5" max="5" width="15.421875" style="0" customWidth="1"/>
    <col min="6" max="6" width="15.8515625" style="0" customWidth="1"/>
    <col min="7" max="7" width="24.57421875" style="0" customWidth="1"/>
  </cols>
  <sheetData>
    <row r="4" spans="2:7" ht="15">
      <c r="B4" s="385"/>
      <c r="C4" s="386"/>
      <c r="D4" s="386"/>
      <c r="E4" s="387" t="s">
        <v>480</v>
      </c>
      <c r="F4" s="387"/>
      <c r="G4" s="386"/>
    </row>
    <row r="5" spans="2:7" ht="15">
      <c r="B5" s="385"/>
      <c r="C5" s="386" t="s">
        <v>481</v>
      </c>
      <c r="D5" s="386" t="s">
        <v>482</v>
      </c>
      <c r="E5" s="386" t="s">
        <v>483</v>
      </c>
      <c r="F5" s="386" t="s">
        <v>484</v>
      </c>
      <c r="G5" s="386" t="s">
        <v>485</v>
      </c>
    </row>
    <row r="6" spans="2:7" ht="15">
      <c r="B6" s="386">
        <v>1</v>
      </c>
      <c r="C6" s="385" t="s">
        <v>486</v>
      </c>
      <c r="D6" s="385">
        <f>G6</f>
        <v>225</v>
      </c>
      <c r="E6" s="385" t="s">
        <v>434</v>
      </c>
      <c r="F6" s="385" t="s">
        <v>434</v>
      </c>
      <c r="G6" s="385">
        <f>D7</f>
        <v>225</v>
      </c>
    </row>
    <row r="7" spans="2:7" ht="15">
      <c r="B7" s="386">
        <v>2</v>
      </c>
      <c r="C7" s="385" t="s">
        <v>487</v>
      </c>
      <c r="D7" s="385">
        <f>G7</f>
        <v>225</v>
      </c>
      <c r="E7" s="385" t="s">
        <v>434</v>
      </c>
      <c r="F7" s="385" t="s">
        <v>434</v>
      </c>
      <c r="G7" s="385">
        <f>D8</f>
        <v>225</v>
      </c>
    </row>
    <row r="8" spans="2:7" ht="15">
      <c r="B8" s="386">
        <v>3</v>
      </c>
      <c r="C8" s="385" t="s">
        <v>488</v>
      </c>
      <c r="D8" s="385">
        <f>G8</f>
        <v>225</v>
      </c>
      <c r="E8" s="385" t="s">
        <v>434</v>
      </c>
      <c r="F8" s="385" t="s">
        <v>434</v>
      </c>
      <c r="G8" s="385">
        <f>D9</f>
        <v>225</v>
      </c>
    </row>
    <row r="9" spans="2:7" ht="15">
      <c r="B9" s="386">
        <v>4</v>
      </c>
      <c r="C9" s="385" t="s">
        <v>489</v>
      </c>
      <c r="D9" s="385">
        <f>G9+E9</f>
        <v>225</v>
      </c>
      <c r="E9" s="385">
        <v>4</v>
      </c>
      <c r="F9" s="385" t="s">
        <v>434</v>
      </c>
      <c r="G9" s="385">
        <f>D10</f>
        <v>221</v>
      </c>
    </row>
    <row r="10" spans="2:7" ht="15">
      <c r="B10" s="386">
        <v>5</v>
      </c>
      <c r="C10" s="385" t="s">
        <v>490</v>
      </c>
      <c r="D10" s="385">
        <f>F10+G10</f>
        <v>221</v>
      </c>
      <c r="E10" s="385" t="s">
        <v>434</v>
      </c>
      <c r="F10" s="385">
        <v>21</v>
      </c>
      <c r="G10" s="385">
        <f>G11</f>
        <v>200</v>
      </c>
    </row>
    <row r="11" spans="2:7" ht="15">
      <c r="B11" s="386">
        <v>6</v>
      </c>
      <c r="C11" s="385" t="s">
        <v>491</v>
      </c>
      <c r="D11" s="385">
        <f>D12</f>
        <v>200</v>
      </c>
      <c r="E11" s="385" t="s">
        <v>434</v>
      </c>
      <c r="F11" s="385" t="s">
        <v>434</v>
      </c>
      <c r="G11" s="385">
        <f>G12</f>
        <v>200</v>
      </c>
    </row>
    <row r="12" spans="2:7" ht="15">
      <c r="B12" s="388">
        <v>7</v>
      </c>
      <c r="C12" s="389" t="s">
        <v>492</v>
      </c>
      <c r="D12" s="389">
        <f>G12</f>
        <v>200</v>
      </c>
      <c r="E12" s="389" t="s">
        <v>434</v>
      </c>
      <c r="F12" s="389" t="s">
        <v>434</v>
      </c>
      <c r="G12" s="389">
        <f>G13</f>
        <v>200</v>
      </c>
    </row>
    <row r="13" spans="2:8" ht="15">
      <c r="B13" s="386"/>
      <c r="C13" s="386" t="s">
        <v>493</v>
      </c>
      <c r="D13" s="386">
        <f>D6</f>
        <v>225</v>
      </c>
      <c r="E13" s="386">
        <v>4</v>
      </c>
      <c r="F13" s="386">
        <v>21</v>
      </c>
      <c r="G13" s="390">
        <f>D25*0.25</f>
        <v>200</v>
      </c>
      <c r="H13" s="391"/>
    </row>
    <row r="15" ht="12.75">
      <c r="G15" s="392"/>
    </row>
    <row r="16" ht="12.75">
      <c r="G16" s="392"/>
    </row>
    <row r="17" spans="2:7" ht="12.75">
      <c r="B17" s="392"/>
      <c r="C17" s="392"/>
      <c r="D17" s="392"/>
      <c r="E17" s="392"/>
      <c r="F17" s="392"/>
      <c r="G17" s="392"/>
    </row>
    <row r="18" spans="2:7" ht="12.75">
      <c r="B18" s="392"/>
      <c r="C18" s="392"/>
      <c r="D18" s="392"/>
      <c r="E18" s="392"/>
      <c r="F18" s="392"/>
      <c r="G18" s="392"/>
    </row>
    <row r="19" spans="2:7" ht="12.75">
      <c r="B19" s="392" t="s">
        <v>494</v>
      </c>
      <c r="C19" s="392" t="s">
        <v>495</v>
      </c>
      <c r="D19" s="392">
        <f>D13</f>
        <v>225</v>
      </c>
      <c r="E19" s="392" t="s">
        <v>496</v>
      </c>
      <c r="F19" s="392"/>
      <c r="G19" s="392"/>
    </row>
    <row r="20" spans="2:7" ht="12.75">
      <c r="B20" s="392" t="s">
        <v>497</v>
      </c>
      <c r="C20" s="392" t="s">
        <v>498</v>
      </c>
      <c r="D20" s="392">
        <f>D13-E13</f>
        <v>221</v>
      </c>
      <c r="E20" s="392" t="s">
        <v>496</v>
      </c>
      <c r="F20" s="392"/>
      <c r="G20" s="392"/>
    </row>
    <row r="21" spans="2:7" ht="12.75">
      <c r="B21" s="392" t="s">
        <v>499</v>
      </c>
      <c r="C21" s="393" t="s">
        <v>500</v>
      </c>
      <c r="D21" s="393"/>
      <c r="E21" s="393"/>
      <c r="F21" s="394">
        <f>(F13+E13)/G13</f>
        <v>0.125</v>
      </c>
      <c r="G21" s="392"/>
    </row>
    <row r="22" spans="2:7" ht="12.75">
      <c r="B22" s="392" t="s">
        <v>501</v>
      </c>
      <c r="C22" s="393" t="s">
        <v>502</v>
      </c>
      <c r="D22" s="393"/>
      <c r="E22" s="393"/>
      <c r="F22" s="394">
        <f>(F13/G13)</f>
        <v>0.105</v>
      </c>
      <c r="G22" s="392"/>
    </row>
    <row r="25" spans="3:8" ht="12.75">
      <c r="C25" s="395" t="s">
        <v>503</v>
      </c>
      <c r="D25" s="395">
        <v>800</v>
      </c>
      <c r="E25" s="395" t="s">
        <v>504</v>
      </c>
      <c r="F25" s="396" t="s">
        <v>505</v>
      </c>
      <c r="G25" s="395">
        <f>D25*0.25</f>
        <v>200</v>
      </c>
      <c r="H25" s="395" t="s">
        <v>506</v>
      </c>
    </row>
  </sheetData>
  <sheetProtection/>
  <mergeCells count="3">
    <mergeCell ref="E4:F4"/>
    <mergeCell ref="C21:E21"/>
    <mergeCell ref="C22:E2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L18"/>
  <sheetViews>
    <sheetView zoomScalePageLayoutView="0" workbookViewId="0" topLeftCell="A1">
      <selection activeCell="F16" sqref="F16"/>
    </sheetView>
  </sheetViews>
  <sheetFormatPr defaultColWidth="11.421875" defaultRowHeight="12.75"/>
  <sheetData>
    <row r="2" spans="2:12" ht="18.75">
      <c r="B2" s="288" t="s">
        <v>435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4" spans="2:12" ht="15">
      <c r="B4" s="286"/>
      <c r="C4" s="287" t="s">
        <v>436</v>
      </c>
      <c r="D4" s="286">
        <v>800000</v>
      </c>
      <c r="E4" s="286" t="s">
        <v>437</v>
      </c>
      <c r="F4" s="286"/>
      <c r="G4" s="286"/>
      <c r="H4" s="286"/>
      <c r="I4" s="286"/>
      <c r="J4" s="286"/>
      <c r="K4" s="286"/>
      <c r="L4" s="286"/>
    </row>
    <row r="5" spans="2:12" ht="15">
      <c r="B5" s="286"/>
      <c r="C5" s="287" t="s">
        <v>438</v>
      </c>
      <c r="D5" s="293">
        <v>66666.66666666667</v>
      </c>
      <c r="E5" s="294" t="s">
        <v>437</v>
      </c>
      <c r="F5" s="295"/>
      <c r="G5" s="286"/>
      <c r="H5" s="286"/>
      <c r="I5" s="286"/>
      <c r="J5" s="286"/>
      <c r="K5" s="286"/>
      <c r="L5" s="286"/>
    </row>
    <row r="6" spans="2:12" ht="15">
      <c r="B6" s="286"/>
      <c r="C6" s="287" t="s">
        <v>439</v>
      </c>
      <c r="D6" s="286">
        <v>3</v>
      </c>
      <c r="E6" s="286" t="s">
        <v>440</v>
      </c>
      <c r="F6" s="286"/>
      <c r="G6" s="286"/>
      <c r="H6" s="286"/>
      <c r="I6" s="286"/>
      <c r="J6" s="286"/>
      <c r="K6" s="286"/>
      <c r="L6" s="286"/>
    </row>
    <row r="9" spans="2:12" ht="15">
      <c r="B9" s="290" t="s">
        <v>441</v>
      </c>
      <c r="C9" s="362" t="s">
        <v>442</v>
      </c>
      <c r="D9" s="362"/>
      <c r="E9" s="362" t="s">
        <v>443</v>
      </c>
      <c r="F9" s="362"/>
      <c r="G9" s="362" t="s">
        <v>444</v>
      </c>
      <c r="H9" s="362"/>
      <c r="I9" s="362" t="s">
        <v>445</v>
      </c>
      <c r="J9" s="362"/>
      <c r="K9" s="362" t="s">
        <v>446</v>
      </c>
      <c r="L9" s="362"/>
    </row>
    <row r="10" spans="2:12" ht="15">
      <c r="B10" s="291">
        <v>1</v>
      </c>
      <c r="C10" s="358">
        <v>0</v>
      </c>
      <c r="D10" s="358"/>
      <c r="E10" s="358">
        <v>0.3333333333333333</v>
      </c>
      <c r="F10" s="358"/>
      <c r="G10" s="358">
        <v>0.16666666666666666</v>
      </c>
      <c r="H10" s="358"/>
      <c r="I10" s="359">
        <v>66666.66666666667</v>
      </c>
      <c r="J10" s="359"/>
      <c r="K10" s="360">
        <v>11111.111111111111</v>
      </c>
      <c r="L10" s="360"/>
    </row>
    <row r="11" spans="2:12" ht="15">
      <c r="B11" s="291">
        <v>2</v>
      </c>
      <c r="C11" s="358">
        <v>0.3333333333333333</v>
      </c>
      <c r="D11" s="358"/>
      <c r="E11" s="358">
        <v>0.6666666666666666</v>
      </c>
      <c r="F11" s="358"/>
      <c r="G11" s="358">
        <v>0.5</v>
      </c>
      <c r="H11" s="358"/>
      <c r="I11" s="359">
        <v>66666.66666666667</v>
      </c>
      <c r="J11" s="359"/>
      <c r="K11" s="360">
        <v>33333.333333333336</v>
      </c>
      <c r="L11" s="360"/>
    </row>
    <row r="12" spans="2:12" ht="15">
      <c r="B12" s="291">
        <v>3</v>
      </c>
      <c r="C12" s="358">
        <v>0.6666666666666666</v>
      </c>
      <c r="D12" s="358"/>
      <c r="E12" s="358">
        <v>1</v>
      </c>
      <c r="F12" s="358"/>
      <c r="G12" s="358">
        <v>0.8333333333333333</v>
      </c>
      <c r="H12" s="358"/>
      <c r="I12" s="359">
        <v>66666.66666666667</v>
      </c>
      <c r="J12" s="359"/>
      <c r="K12" s="360">
        <v>55555.555555555555</v>
      </c>
      <c r="L12" s="360"/>
    </row>
    <row r="13" spans="2:12" ht="15">
      <c r="B13" s="286"/>
      <c r="C13" s="286"/>
      <c r="D13" s="286"/>
      <c r="E13" s="286"/>
      <c r="F13" s="286"/>
      <c r="G13" s="286"/>
      <c r="H13" s="286"/>
      <c r="I13" s="286"/>
      <c r="J13" s="292" t="s">
        <v>447</v>
      </c>
      <c r="K13" s="360">
        <v>100000</v>
      </c>
      <c r="L13" s="361"/>
    </row>
    <row r="16" spans="2:12" ht="15">
      <c r="B16" s="286"/>
      <c r="C16" s="286"/>
      <c r="D16" s="286"/>
      <c r="E16" s="287" t="s">
        <v>448</v>
      </c>
      <c r="F16" s="289">
        <v>408000</v>
      </c>
      <c r="G16" s="286" t="s">
        <v>449</v>
      </c>
      <c r="H16" s="286"/>
      <c r="I16" s="286"/>
      <c r="J16" s="286"/>
      <c r="K16" s="286"/>
      <c r="L16" s="286"/>
    </row>
    <row r="17" spans="4:9" ht="15">
      <c r="D17" s="286"/>
      <c r="E17" s="287" t="s">
        <v>450</v>
      </c>
      <c r="F17" s="289">
        <v>508000</v>
      </c>
      <c r="G17" s="286"/>
      <c r="H17" s="286"/>
      <c r="I17" s="286"/>
    </row>
    <row r="18" spans="4:9" ht="15">
      <c r="D18" s="286"/>
      <c r="E18" s="287" t="s">
        <v>451</v>
      </c>
      <c r="F18" s="293">
        <v>800000</v>
      </c>
      <c r="G18" s="295"/>
      <c r="H18" s="294"/>
      <c r="I18" s="286"/>
    </row>
  </sheetData>
  <sheetProtection/>
  <mergeCells count="21">
    <mergeCell ref="C9:D9"/>
    <mergeCell ref="E9:F9"/>
    <mergeCell ref="G9:H9"/>
    <mergeCell ref="I9:J9"/>
    <mergeCell ref="K9:L9"/>
    <mergeCell ref="I10:J10"/>
    <mergeCell ref="I11:J11"/>
    <mergeCell ref="I12:J12"/>
    <mergeCell ref="K10:L10"/>
    <mergeCell ref="K11:L11"/>
    <mergeCell ref="K12:L12"/>
    <mergeCell ref="K13:L13"/>
    <mergeCell ref="C11:D11"/>
    <mergeCell ref="C12:D12"/>
    <mergeCell ref="E10:F10"/>
    <mergeCell ref="E11:F11"/>
    <mergeCell ref="E12:F12"/>
    <mergeCell ref="G10:H10"/>
    <mergeCell ref="G11:H11"/>
    <mergeCell ref="G12:H12"/>
    <mergeCell ref="C10:D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M19" sqref="M19"/>
    </sheetView>
  </sheetViews>
  <sheetFormatPr defaultColWidth="11.421875" defaultRowHeight="12.75"/>
  <sheetData>
    <row r="1" spans="1:4" ht="18.75">
      <c r="A1" s="284" t="s">
        <v>429</v>
      </c>
      <c r="B1" s="282"/>
      <c r="C1" s="282"/>
      <c r="D1" s="282"/>
    </row>
    <row r="3" spans="1:4" ht="15">
      <c r="A3" s="283" t="s">
        <v>47</v>
      </c>
      <c r="B3" s="285">
        <v>500000</v>
      </c>
      <c r="C3" s="282" t="s">
        <v>430</v>
      </c>
      <c r="D3" s="282" t="s">
        <v>431</v>
      </c>
    </row>
    <row r="4" spans="1:4" ht="15">
      <c r="A4" s="283" t="s">
        <v>432</v>
      </c>
      <c r="B4" s="282">
        <v>800000</v>
      </c>
      <c r="C4" s="282" t="s">
        <v>430</v>
      </c>
      <c r="D4" s="282" t="s">
        <v>433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31">
      <selection activeCell="A43" sqref="A43"/>
    </sheetView>
  </sheetViews>
  <sheetFormatPr defaultColWidth="11.421875" defaultRowHeight="12.75"/>
  <cols>
    <col min="1" max="1" width="45.421875" style="14" customWidth="1"/>
    <col min="2" max="7" width="14.8515625" style="14" customWidth="1"/>
    <col min="8" max="16384" width="11.421875" style="14" customWidth="1"/>
  </cols>
  <sheetData>
    <row r="1" spans="1:5" ht="12.75">
      <c r="A1" s="1" t="s">
        <v>42</v>
      </c>
      <c r="B1"/>
      <c r="C1"/>
      <c r="D1"/>
      <c r="E1" s="2" t="str">
        <f>InfoInicial!E1</f>
        <v>FIDEOS</v>
      </c>
    </row>
    <row r="3" spans="1:5" ht="15.75">
      <c r="A3" s="15" t="s">
        <v>43</v>
      </c>
      <c r="B3" s="352" t="s">
        <v>44</v>
      </c>
      <c r="C3" s="352"/>
      <c r="D3" s="353" t="s">
        <v>45</v>
      </c>
      <c r="E3" s="353"/>
    </row>
    <row r="4" spans="1:5" ht="15.75">
      <c r="A4" s="18"/>
      <c r="B4" s="19" t="s">
        <v>46</v>
      </c>
      <c r="C4" s="19" t="s">
        <v>47</v>
      </c>
      <c r="D4" s="19" t="s">
        <v>46</v>
      </c>
      <c r="E4" s="20" t="s">
        <v>47</v>
      </c>
    </row>
    <row r="5" spans="1:5" ht="12.75">
      <c r="A5" s="21"/>
      <c r="B5" s="244"/>
      <c r="C5" s="244"/>
      <c r="D5" s="244"/>
      <c r="E5" s="244"/>
    </row>
    <row r="6" spans="1:5" ht="12.75">
      <c r="A6" s="22" t="s">
        <v>48</v>
      </c>
      <c r="B6" s="245"/>
      <c r="C6" s="245"/>
      <c r="D6" s="245"/>
      <c r="E6" s="245"/>
    </row>
    <row r="7" spans="1:5" ht="12.75">
      <c r="A7" s="24" t="s">
        <v>49</v>
      </c>
      <c r="B7" s="246">
        <f>54000*InfoInicial!B32+15000</f>
        <v>835800</v>
      </c>
      <c r="C7" s="246"/>
      <c r="D7" s="246"/>
      <c r="E7" s="246"/>
    </row>
    <row r="8" spans="1:5" ht="12.75">
      <c r="A8" s="24" t="s">
        <v>50</v>
      </c>
      <c r="B8" s="246">
        <f>550*InfoInicial!B32*InfoInicial!B27+100*InfoInicial!B27</f>
        <v>4619160</v>
      </c>
      <c r="C8" s="246"/>
      <c r="D8" s="246"/>
      <c r="E8" s="246"/>
    </row>
    <row r="9" spans="1:5" ht="12.75">
      <c r="A9" s="24" t="s">
        <v>51</v>
      </c>
      <c r="B9" s="246">
        <f>B8*0.8</f>
        <v>3695328</v>
      </c>
      <c r="C9" s="246"/>
      <c r="D9" s="246"/>
      <c r="E9" s="246"/>
    </row>
    <row r="10" spans="1:5" ht="12.75">
      <c r="A10" s="24" t="s">
        <v>52</v>
      </c>
      <c r="B10" s="246"/>
      <c r="C10" s="246"/>
      <c r="D10" s="246"/>
      <c r="E10" s="246"/>
    </row>
    <row r="11" spans="1:5" ht="12.75">
      <c r="A11" s="24" t="s">
        <v>53</v>
      </c>
      <c r="B11" s="246"/>
      <c r="C11" s="246"/>
      <c r="D11" s="246">
        <f>30000*InfoInicial!B32*1.05</f>
        <v>478800</v>
      </c>
      <c r="E11" s="246"/>
    </row>
    <row r="12" spans="1:5" ht="12.75">
      <c r="A12" s="24" t="s">
        <v>54</v>
      </c>
      <c r="B12" s="246">
        <f>190000+150000+400000+16000+8400</f>
        <v>764400</v>
      </c>
      <c r="C12" s="246"/>
      <c r="D12" s="246"/>
      <c r="E12" s="246"/>
    </row>
    <row r="13" spans="1:5" ht="12.75">
      <c r="A13" s="26" t="s">
        <v>55</v>
      </c>
      <c r="B13" s="246"/>
      <c r="C13" s="246"/>
      <c r="D13" s="246">
        <f>D11*0.11</f>
        <v>52668</v>
      </c>
      <c r="E13" s="246"/>
    </row>
    <row r="14" spans="1:5" ht="12.75">
      <c r="A14" s="24" t="s">
        <v>56</v>
      </c>
      <c r="B14" s="246">
        <f>(3*2500+B12*0.02)</f>
        <v>22788</v>
      </c>
      <c r="C14" s="246"/>
      <c r="D14" s="246">
        <f>2500+D11*0.04</f>
        <v>21652</v>
      </c>
      <c r="E14" s="246"/>
    </row>
    <row r="15" spans="1:5" ht="12.75">
      <c r="A15" s="24" t="s">
        <v>57</v>
      </c>
      <c r="B15" s="246">
        <v>90000</v>
      </c>
      <c r="C15" s="246"/>
      <c r="D15" s="246"/>
      <c r="E15" s="246"/>
    </row>
    <row r="16" spans="1:5" ht="12.75">
      <c r="A16" s="24" t="s">
        <v>58</v>
      </c>
      <c r="B16" s="246">
        <f>4*10000+1000*4+800*4+2500*4+1500</f>
        <v>58700</v>
      </c>
      <c r="C16" s="246"/>
      <c r="D16" s="246"/>
      <c r="E16" s="246"/>
    </row>
    <row r="17" spans="1:5" ht="12.75">
      <c r="A17" s="24" t="s">
        <v>59</v>
      </c>
      <c r="B17" s="246">
        <v>0</v>
      </c>
      <c r="C17" s="246"/>
      <c r="D17" s="246"/>
      <c r="E17" s="246"/>
    </row>
    <row r="18" spans="1:5" ht="12.75">
      <c r="A18" s="24" t="s">
        <v>15</v>
      </c>
      <c r="B18" s="246">
        <f>SUM(B7:B17)*0.025</f>
        <v>252154.40000000002</v>
      </c>
      <c r="C18" s="246"/>
      <c r="D18" s="246">
        <f>SUM(D7:D17)*0.025</f>
        <v>13828</v>
      </c>
      <c r="E18" s="246"/>
    </row>
    <row r="19" spans="1:5" ht="12.75">
      <c r="A19" s="24"/>
      <c r="B19" s="246"/>
      <c r="C19" s="246"/>
      <c r="D19" s="246"/>
      <c r="E19" s="246"/>
    </row>
    <row r="20" spans="1:5" ht="12.75">
      <c r="A20" s="22" t="s">
        <v>60</v>
      </c>
      <c r="B20" s="246">
        <f>SUM(B7:B18)</f>
        <v>10338330.4</v>
      </c>
      <c r="C20" s="246">
        <f>SUM(C7:C17)</f>
        <v>0</v>
      </c>
      <c r="D20" s="246">
        <f>SUM(D7:D18)</f>
        <v>566948</v>
      </c>
      <c r="E20" s="246">
        <f>SUM(E7:E18)</f>
        <v>0</v>
      </c>
    </row>
    <row r="21" spans="1:5" ht="12.75">
      <c r="A21" s="24"/>
      <c r="B21" s="247"/>
      <c r="C21" s="247"/>
      <c r="D21" s="247"/>
      <c r="E21" s="247"/>
    </row>
    <row r="22" spans="1:5" ht="12.75">
      <c r="A22" s="22" t="s">
        <v>61</v>
      </c>
      <c r="B22" s="247"/>
      <c r="C22" s="247"/>
      <c r="D22" s="247"/>
      <c r="E22" s="247"/>
    </row>
    <row r="23" spans="1:5" ht="12.75">
      <c r="A23" s="24" t="s">
        <v>62</v>
      </c>
      <c r="B23" s="246">
        <v>200000</v>
      </c>
      <c r="C23" s="246"/>
      <c r="D23" s="246"/>
      <c r="E23" s="246"/>
    </row>
    <row r="24" spans="1:5" ht="12.75">
      <c r="A24" s="24" t="s">
        <v>63</v>
      </c>
      <c r="B24" s="246">
        <v>150000</v>
      </c>
      <c r="C24" s="246"/>
      <c r="D24" s="246"/>
      <c r="E24" s="246"/>
    </row>
    <row r="25" spans="1:5" ht="12.75">
      <c r="A25" s="24" t="s">
        <v>64</v>
      </c>
      <c r="B25" s="246">
        <v>800000</v>
      </c>
      <c r="C25" s="246"/>
      <c r="D25" s="246"/>
      <c r="E25" s="246"/>
    </row>
    <row r="26" spans="1:5" ht="12.75">
      <c r="A26" s="26" t="s">
        <v>65</v>
      </c>
      <c r="B26" s="246"/>
      <c r="C26" s="246">
        <v>200000</v>
      </c>
      <c r="D26" s="246"/>
      <c r="E26" s="246"/>
    </row>
    <row r="27" spans="1:5" ht="12.75">
      <c r="A27" s="26" t="s">
        <v>66</v>
      </c>
      <c r="B27" s="246">
        <v>0</v>
      </c>
      <c r="C27" s="246"/>
      <c r="D27" s="246"/>
      <c r="E27" s="246"/>
    </row>
    <row r="28" spans="1:5" ht="12.75">
      <c r="A28" s="26" t="s">
        <v>67</v>
      </c>
      <c r="B28" s="246">
        <v>0</v>
      </c>
      <c r="C28" s="246"/>
      <c r="D28" s="246"/>
      <c r="E28" s="246"/>
    </row>
    <row r="29" spans="1:5" ht="12.75">
      <c r="A29" s="24" t="s">
        <v>15</v>
      </c>
      <c r="B29" s="246">
        <f>SUM(B23:C28)*0.04</f>
        <v>54000</v>
      </c>
      <c r="C29" s="246"/>
      <c r="D29" s="246"/>
      <c r="E29" s="246"/>
    </row>
    <row r="30" spans="1:5" ht="12.75">
      <c r="A30" s="24"/>
      <c r="B30" s="246"/>
      <c r="C30" s="246"/>
      <c r="D30" s="246"/>
      <c r="E30" s="246"/>
    </row>
    <row r="31" spans="1:5" ht="12.75">
      <c r="A31" s="22" t="s">
        <v>68</v>
      </c>
      <c r="B31" s="246">
        <f>SUM(B23:B29)</f>
        <v>1204000</v>
      </c>
      <c r="C31" s="246">
        <f>SUM(C23:C29)</f>
        <v>200000</v>
      </c>
      <c r="D31" s="246">
        <f>SUM(D23:D29)</f>
        <v>0</v>
      </c>
      <c r="E31" s="246">
        <f>SUM(E23:E29)</f>
        <v>0</v>
      </c>
    </row>
    <row r="32" spans="1:5" ht="12.75">
      <c r="A32" s="24"/>
      <c r="B32" s="247"/>
      <c r="C32" s="247"/>
      <c r="D32" s="247"/>
      <c r="E32" s="247"/>
    </row>
    <row r="33" spans="1:5" ht="12.75">
      <c r="A33" s="22" t="s">
        <v>69</v>
      </c>
      <c r="B33" s="246">
        <f>B20+B31</f>
        <v>11542330.4</v>
      </c>
      <c r="C33" s="246">
        <f>C31</f>
        <v>200000</v>
      </c>
      <c r="D33" s="246">
        <f>D20+D31</f>
        <v>566948</v>
      </c>
      <c r="E33" s="246">
        <f>E20+E31</f>
        <v>0</v>
      </c>
    </row>
    <row r="34" spans="1:5" ht="12.75">
      <c r="A34" s="22" t="s">
        <v>70</v>
      </c>
      <c r="B34" s="246">
        <f>B33*0.21</f>
        <v>2423889.384</v>
      </c>
      <c r="C34" s="246">
        <f>C33*0.21</f>
        <v>42000</v>
      </c>
      <c r="D34" s="246">
        <f>D33*0.21</f>
        <v>119059.08</v>
      </c>
      <c r="E34" s="246">
        <f>E33*0.21</f>
        <v>0</v>
      </c>
    </row>
    <row r="35" spans="1:5" ht="12.75">
      <c r="A35" s="24"/>
      <c r="B35" s="247"/>
      <c r="C35" s="247"/>
      <c r="D35" s="247"/>
      <c r="E35" s="247"/>
    </row>
    <row r="36" spans="1:5" ht="12.75">
      <c r="A36" s="28" t="s">
        <v>71</v>
      </c>
      <c r="B36" s="248">
        <f>SUM(B33:B34)</f>
        <v>13966219.784</v>
      </c>
      <c r="C36" s="248">
        <f>SUM(C33:C34)</f>
        <v>242000</v>
      </c>
      <c r="D36" s="248">
        <f>SUM(D33:D34)</f>
        <v>686007.08</v>
      </c>
      <c r="E36" s="248">
        <f>SUM(E33:E34)</f>
        <v>0</v>
      </c>
    </row>
    <row r="39" spans="1:7" ht="12.75">
      <c r="A39" s="30" t="s">
        <v>72</v>
      </c>
      <c r="B39" s="16" t="s">
        <v>73</v>
      </c>
      <c r="C39" s="16" t="s">
        <v>74</v>
      </c>
      <c r="D39" s="352" t="s">
        <v>75</v>
      </c>
      <c r="E39" s="352"/>
      <c r="F39" s="352"/>
      <c r="G39" s="31" t="s">
        <v>76</v>
      </c>
    </row>
    <row r="40" spans="1:7" ht="12.75">
      <c r="A40" s="32"/>
      <c r="B40" s="19" t="s">
        <v>77</v>
      </c>
      <c r="C40" s="19"/>
      <c r="D40" s="19" t="s">
        <v>78</v>
      </c>
      <c r="E40" s="19" t="s">
        <v>79</v>
      </c>
      <c r="F40" s="19"/>
      <c r="G40" s="33"/>
    </row>
    <row r="41" spans="1:7" ht="12.75">
      <c r="A41" s="34" t="s">
        <v>80</v>
      </c>
      <c r="B41" s="35"/>
      <c r="C41" s="35"/>
      <c r="D41" s="35"/>
      <c r="E41" s="35"/>
      <c r="F41" s="36"/>
      <c r="G41" s="37"/>
    </row>
    <row r="42" spans="1:7" ht="12.75">
      <c r="A42" s="38"/>
      <c r="B42" s="39"/>
      <c r="C42" s="39"/>
      <c r="D42" s="39"/>
      <c r="E42" s="39"/>
      <c r="F42" s="40"/>
      <c r="G42" s="41"/>
    </row>
    <row r="43" spans="1:7" ht="12.75">
      <c r="A43" s="24" t="s">
        <v>49</v>
      </c>
      <c r="B43" s="242">
        <f>SUM(B7:E7)</f>
        <v>835800</v>
      </c>
      <c r="D43" s="242"/>
      <c r="E43" s="242"/>
      <c r="F43" s="242"/>
      <c r="G43" s="250">
        <f>B43</f>
        <v>835800</v>
      </c>
    </row>
    <row r="44" spans="1:7" ht="12.75">
      <c r="A44" s="24" t="s">
        <v>50</v>
      </c>
      <c r="B44" s="242">
        <f>SUM(B8:E8)</f>
        <v>4619160</v>
      </c>
      <c r="C44" s="249">
        <f>1/30</f>
        <v>0.03333333333333333</v>
      </c>
      <c r="D44" s="242">
        <f>C44*B44</f>
        <v>153972</v>
      </c>
      <c r="E44" s="242">
        <f aca="true" t="shared" si="0" ref="E44:E49">B44*C44</f>
        <v>153972</v>
      </c>
      <c r="F44" s="242"/>
      <c r="G44" s="250"/>
    </row>
    <row r="45" spans="1:7" ht="12.75">
      <c r="A45" s="24" t="s">
        <v>51</v>
      </c>
      <c r="B45" s="242">
        <f>SUM(B9:E9)</f>
        <v>3695328</v>
      </c>
      <c r="C45" s="249">
        <f>1/10</f>
        <v>0.1</v>
      </c>
      <c r="D45" s="242">
        <f aca="true" t="shared" si="1" ref="D45:D50">C45*B45</f>
        <v>369532.80000000005</v>
      </c>
      <c r="E45" s="242">
        <f t="shared" si="0"/>
        <v>369532.80000000005</v>
      </c>
      <c r="F45" s="242"/>
      <c r="G45" s="250"/>
    </row>
    <row r="46" spans="1:7" ht="12.75">
      <c r="A46" s="26" t="s">
        <v>52</v>
      </c>
      <c r="B46" s="242">
        <f>SUM(B11:E14)-0.05*D11</f>
        <v>1316368</v>
      </c>
      <c r="C46" s="249">
        <f>1/10</f>
        <v>0.1</v>
      </c>
      <c r="D46" s="242">
        <f t="shared" si="1"/>
        <v>131636.80000000002</v>
      </c>
      <c r="E46" s="242">
        <f t="shared" si="0"/>
        <v>131636.80000000002</v>
      </c>
      <c r="F46" s="242"/>
      <c r="G46" s="250"/>
    </row>
    <row r="47" spans="1:7" ht="12.75">
      <c r="A47" s="26" t="s">
        <v>57</v>
      </c>
      <c r="B47" s="242">
        <f>SUM(B15)</f>
        <v>90000</v>
      </c>
      <c r="C47" s="249">
        <f>1/5</f>
        <v>0.2</v>
      </c>
      <c r="D47" s="242">
        <f t="shared" si="1"/>
        <v>18000</v>
      </c>
      <c r="E47" s="242">
        <f t="shared" si="0"/>
        <v>18000</v>
      </c>
      <c r="F47" s="242"/>
      <c r="G47" s="250"/>
    </row>
    <row r="48" spans="1:7" ht="12.75">
      <c r="A48" s="26" t="s">
        <v>58</v>
      </c>
      <c r="B48" s="242">
        <f>SUM(B16:E16)</f>
        <v>58700</v>
      </c>
      <c r="C48" s="249">
        <f>1/5</f>
        <v>0.2</v>
      </c>
      <c r="D48" s="242">
        <f t="shared" si="1"/>
        <v>11740</v>
      </c>
      <c r="E48" s="242">
        <f t="shared" si="0"/>
        <v>11740</v>
      </c>
      <c r="F48" s="242"/>
      <c r="G48" s="250"/>
    </row>
    <row r="49" spans="1:7" ht="12.75">
      <c r="A49" s="26" t="s">
        <v>15</v>
      </c>
      <c r="B49" s="242">
        <f>SUM(B18:E18)</f>
        <v>265982.4</v>
      </c>
      <c r="C49" s="249">
        <v>0.045</v>
      </c>
      <c r="D49" s="242">
        <f t="shared" si="1"/>
        <v>11969.208</v>
      </c>
      <c r="E49" s="242">
        <f t="shared" si="0"/>
        <v>11969.208</v>
      </c>
      <c r="F49" s="242"/>
      <c r="G49" s="250"/>
    </row>
    <row r="50" spans="1:7" ht="12.75">
      <c r="A50" s="26" t="s">
        <v>81</v>
      </c>
      <c r="B50" s="242">
        <f>0.05*D11</f>
        <v>23940</v>
      </c>
      <c r="C50" s="249">
        <f>1/3</f>
        <v>0.3333333333333333</v>
      </c>
      <c r="D50" s="242">
        <f t="shared" si="1"/>
        <v>7980</v>
      </c>
      <c r="E50" s="242"/>
      <c r="F50" s="242"/>
      <c r="G50" s="250"/>
    </row>
    <row r="51" spans="1:7" ht="12.75">
      <c r="A51" s="43" t="s">
        <v>82</v>
      </c>
      <c r="B51" s="242">
        <f>SUM(B43:B50)</f>
        <v>10905278.4</v>
      </c>
      <c r="C51" s="25"/>
      <c r="D51" s="242">
        <f>SUM(D44:D50)</f>
        <v>704830.8080000001</v>
      </c>
      <c r="E51" s="242">
        <f>SUM(E44:E50)</f>
        <v>696850.8080000001</v>
      </c>
      <c r="F51" s="242"/>
      <c r="G51" s="250">
        <f>SUM(G43:G50)</f>
        <v>835800</v>
      </c>
    </row>
    <row r="52" spans="1:7" ht="12.75">
      <c r="A52" s="22"/>
      <c r="B52" s="251"/>
      <c r="C52" s="45"/>
      <c r="D52" s="252"/>
      <c r="E52" s="252"/>
      <c r="F52" s="252"/>
      <c r="G52" s="253"/>
    </row>
    <row r="53" spans="1:7" ht="12.75">
      <c r="A53" s="43" t="s">
        <v>83</v>
      </c>
      <c r="B53" s="242">
        <f>SUM(B31:E31)</f>
        <v>1404000</v>
      </c>
      <c r="C53" s="249">
        <f>1/5</f>
        <v>0.2</v>
      </c>
      <c r="D53" s="242">
        <f>B53*C53</f>
        <v>280800</v>
      </c>
      <c r="E53" s="242">
        <f>B53*C53</f>
        <v>280800</v>
      </c>
      <c r="F53" s="242"/>
      <c r="G53" s="250"/>
    </row>
    <row r="54" spans="1:7" ht="12.75">
      <c r="A54" s="43"/>
      <c r="B54" s="25"/>
      <c r="C54" s="25"/>
      <c r="D54" s="25"/>
      <c r="E54" s="25"/>
      <c r="F54" s="25"/>
      <c r="G54" s="42"/>
    </row>
    <row r="55" spans="1:9" ht="12.75">
      <c r="A55" s="22"/>
      <c r="B55" s="23"/>
      <c r="C55" s="23"/>
      <c r="D55" s="47"/>
      <c r="E55" s="48"/>
      <c r="F55" s="48"/>
      <c r="G55" s="49"/>
      <c r="H55" s="50"/>
      <c r="I55" s="50"/>
    </row>
    <row r="56" spans="1:9" ht="12.75">
      <c r="A56" s="28" t="s">
        <v>84</v>
      </c>
      <c r="B56" s="243">
        <f>B51+B53</f>
        <v>12309278.4</v>
      </c>
      <c r="C56" s="243"/>
      <c r="D56" s="243">
        <f>D51+D53</f>
        <v>985630.8080000001</v>
      </c>
      <c r="E56" s="243">
        <f>E51+E53</f>
        <v>977650.8080000001</v>
      </c>
      <c r="F56" s="243"/>
      <c r="G56" s="254">
        <f>G51</f>
        <v>835800</v>
      </c>
      <c r="H56" s="52"/>
      <c r="I56" s="52"/>
    </row>
  </sheetData>
  <sheetProtection selectLockedCells="1" selectUnlockedCells="1"/>
  <mergeCells count="3">
    <mergeCell ref="B3:C3"/>
    <mergeCell ref="D3:E3"/>
    <mergeCell ref="D39:F39"/>
  </mergeCells>
  <printOptions/>
  <pageMargins left="0.42986111111111114" right="0.75" top="0.5597222222222222" bottom="1.429861111111111" header="0.5118055555555555" footer="0.5118055555555555"/>
  <pageSetup fitToHeight="3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I27" sqref="I27"/>
    </sheetView>
  </sheetViews>
  <sheetFormatPr defaultColWidth="11.421875" defaultRowHeight="12.75"/>
  <sheetData>
    <row r="2" spans="2:7" ht="15">
      <c r="B2" s="276"/>
      <c r="C2" s="276"/>
      <c r="D2" s="277"/>
      <c r="E2" s="278" t="s">
        <v>416</v>
      </c>
      <c r="F2" s="275" t="s">
        <v>47</v>
      </c>
      <c r="G2" s="275" t="s">
        <v>417</v>
      </c>
    </row>
    <row r="3" spans="2:7" ht="15">
      <c r="B3" s="363" t="s">
        <v>418</v>
      </c>
      <c r="C3" s="363"/>
      <c r="D3" s="363"/>
      <c r="E3" s="272"/>
      <c r="F3" s="273">
        <v>500000</v>
      </c>
      <c r="G3" s="272">
        <v>800000</v>
      </c>
    </row>
    <row r="4" spans="2:7" ht="15">
      <c r="B4" s="364" t="s">
        <v>419</v>
      </c>
      <c r="C4" s="364"/>
      <c r="D4" s="364"/>
      <c r="E4" s="272"/>
      <c r="F4" s="272">
        <v>8000</v>
      </c>
      <c r="G4" s="272">
        <v>8000</v>
      </c>
    </row>
    <row r="5" spans="2:7" ht="15">
      <c r="B5" s="364" t="s">
        <v>420</v>
      </c>
      <c r="C5" s="364"/>
      <c r="D5" s="364"/>
      <c r="E5" s="272"/>
      <c r="F5" s="273">
        <v>508000</v>
      </c>
      <c r="G5" s="273">
        <v>800000</v>
      </c>
    </row>
    <row r="6" spans="2:7" ht="15">
      <c r="B6" s="365" t="s">
        <v>421</v>
      </c>
      <c r="C6" s="365"/>
      <c r="D6" s="275" t="s">
        <v>422</v>
      </c>
      <c r="E6" s="272"/>
      <c r="F6" s="274">
        <v>13335</v>
      </c>
      <c r="G6" s="274">
        <v>21000</v>
      </c>
    </row>
    <row r="7" spans="2:7" ht="15">
      <c r="B7" s="365"/>
      <c r="C7" s="365"/>
      <c r="D7" s="275" t="s">
        <v>423</v>
      </c>
      <c r="E7" s="272"/>
      <c r="F7" s="272">
        <v>0</v>
      </c>
      <c r="G7" s="272">
        <v>0</v>
      </c>
    </row>
    <row r="8" spans="2:7" ht="15">
      <c r="B8" s="365"/>
      <c r="C8" s="365"/>
      <c r="D8" s="275" t="s">
        <v>424</v>
      </c>
      <c r="E8" s="272"/>
      <c r="F8" s="272">
        <v>0</v>
      </c>
      <c r="G8" s="272">
        <v>0</v>
      </c>
    </row>
    <row r="9" spans="2:9" ht="15">
      <c r="B9" s="365" t="s">
        <v>425</v>
      </c>
      <c r="C9" s="365"/>
      <c r="D9" s="275" t="s">
        <v>422</v>
      </c>
      <c r="E9" s="279"/>
      <c r="F9" s="279">
        <v>582.666666666667</v>
      </c>
      <c r="G9" s="279">
        <v>582.666666666667</v>
      </c>
      <c r="I9" s="305"/>
    </row>
    <row r="10" spans="2:9" ht="15">
      <c r="B10" s="365"/>
      <c r="C10" s="365"/>
      <c r="D10" s="275" t="s">
        <v>423</v>
      </c>
      <c r="E10" s="279"/>
      <c r="F10" s="279">
        <v>4088.8888888888887</v>
      </c>
      <c r="G10" s="279">
        <v>4088.8888888888887</v>
      </c>
      <c r="I10" s="305"/>
    </row>
    <row r="11" spans="2:9" ht="15">
      <c r="B11" s="365"/>
      <c r="C11" s="365"/>
      <c r="D11" s="275" t="s">
        <v>424</v>
      </c>
      <c r="E11" s="279"/>
      <c r="F11" s="279">
        <v>511.1111111111111</v>
      </c>
      <c r="G11" s="279">
        <v>511.1111111111111</v>
      </c>
      <c r="I11" s="305"/>
    </row>
    <row r="12" spans="2:7" ht="15">
      <c r="B12" s="366" t="s">
        <v>426</v>
      </c>
      <c r="C12" s="366"/>
      <c r="D12" s="275" t="s">
        <v>422</v>
      </c>
      <c r="E12" s="279"/>
      <c r="F12" s="279">
        <v>292.17391304347825</v>
      </c>
      <c r="G12" s="279">
        <v>1344</v>
      </c>
    </row>
    <row r="13" spans="2:7" ht="15">
      <c r="B13" s="366"/>
      <c r="C13" s="366"/>
      <c r="D13" s="275" t="s">
        <v>423</v>
      </c>
      <c r="E13" s="279"/>
      <c r="F13" s="279">
        <v>26086.95652173913</v>
      </c>
      <c r="G13" s="279">
        <v>120000</v>
      </c>
    </row>
    <row r="14" spans="2:7" ht="15">
      <c r="B14" s="366"/>
      <c r="C14" s="366"/>
      <c r="D14" s="275" t="s">
        <v>424</v>
      </c>
      <c r="E14" s="279"/>
      <c r="F14" s="279">
        <v>260869.5652173913</v>
      </c>
      <c r="G14" s="279">
        <v>1200000</v>
      </c>
    </row>
    <row r="15" spans="2:7" ht="15">
      <c r="B15" s="366" t="s">
        <v>427</v>
      </c>
      <c r="C15" s="366"/>
      <c r="D15" s="275" t="s">
        <v>422</v>
      </c>
      <c r="E15" s="279">
        <v>7600</v>
      </c>
      <c r="F15" s="279">
        <v>5326.495726495726</v>
      </c>
      <c r="G15" s="279">
        <v>5326.495726495726</v>
      </c>
    </row>
    <row r="16" spans="2:7" ht="15">
      <c r="B16" s="366"/>
      <c r="C16" s="366"/>
      <c r="D16" s="275" t="s">
        <v>423</v>
      </c>
      <c r="E16" s="279">
        <v>2133.3333333333335</v>
      </c>
      <c r="F16" s="279">
        <v>1495.1566951566954</v>
      </c>
      <c r="G16" s="279">
        <v>1495.1566951566954</v>
      </c>
    </row>
    <row r="17" spans="2:7" ht="15">
      <c r="B17" s="366"/>
      <c r="C17" s="366"/>
      <c r="D17" s="275" t="s">
        <v>424</v>
      </c>
      <c r="E17" s="279">
        <v>266.6666666666667</v>
      </c>
      <c r="F17" s="279">
        <v>186.89458689458692</v>
      </c>
      <c r="G17" s="279">
        <v>186.89458689458692</v>
      </c>
    </row>
    <row r="18" spans="2:7" ht="15">
      <c r="B18" s="366" t="s">
        <v>428</v>
      </c>
      <c r="C18" s="366"/>
      <c r="D18" s="275" t="s">
        <v>422</v>
      </c>
      <c r="E18" s="279">
        <v>7600</v>
      </c>
      <c r="F18" s="279">
        <v>50666.666666666664</v>
      </c>
      <c r="G18" s="279">
        <v>58266.66666666667</v>
      </c>
    </row>
    <row r="19" spans="2:7" ht="15">
      <c r="B19" s="366"/>
      <c r="C19" s="366"/>
      <c r="D19" s="275" t="s">
        <v>423</v>
      </c>
      <c r="E19" s="279">
        <v>2133.3333333333335</v>
      </c>
      <c r="F19" s="279">
        <v>14222.222222222224</v>
      </c>
      <c r="G19" s="279">
        <v>16355.555555555555</v>
      </c>
    </row>
    <row r="20" spans="2:7" ht="15">
      <c r="B20" s="366"/>
      <c r="C20" s="366"/>
      <c r="D20" s="275" t="s">
        <v>424</v>
      </c>
      <c r="E20" s="279">
        <v>266.6666666666667</v>
      </c>
      <c r="F20" s="279">
        <v>1777.777777777778</v>
      </c>
      <c r="G20" s="279">
        <v>2044.4444444444443</v>
      </c>
    </row>
  </sheetData>
  <sheetProtection/>
  <mergeCells count="8">
    <mergeCell ref="B3:D3"/>
    <mergeCell ref="B4:D4"/>
    <mergeCell ref="B5:D5"/>
    <mergeCell ref="B9:C11"/>
    <mergeCell ref="B18:C20"/>
    <mergeCell ref="B15:C17"/>
    <mergeCell ref="B6:C8"/>
    <mergeCell ref="B12:C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75"/>
  <sheetViews>
    <sheetView zoomScalePageLayoutView="0" workbookViewId="0" topLeftCell="A85">
      <selection activeCell="B125" sqref="B125"/>
    </sheetView>
  </sheetViews>
  <sheetFormatPr defaultColWidth="11.421875" defaultRowHeight="12.75"/>
  <cols>
    <col min="1" max="1" width="41.00390625" style="14" customWidth="1"/>
    <col min="2" max="6" width="14.8515625" style="14" customWidth="1"/>
    <col min="7" max="7" width="17.421875" style="14" customWidth="1"/>
    <col min="8" max="9" width="11.421875" style="14" customWidth="1"/>
    <col min="10" max="10" width="14.8515625" style="14" bestFit="1" customWidth="1"/>
    <col min="11" max="16384" width="11.421875" style="14" customWidth="1"/>
  </cols>
  <sheetData>
    <row r="3" spans="1:5" ht="13.5" thickBot="1">
      <c r="A3" s="1" t="s">
        <v>0</v>
      </c>
      <c r="B3"/>
      <c r="C3"/>
      <c r="D3"/>
      <c r="E3" s="2" t="str">
        <f>InfoInicial!E1</f>
        <v>FIDEOS</v>
      </c>
    </row>
    <row r="4" spans="1:6" ht="16.5" thickTop="1">
      <c r="A4" s="53" t="s">
        <v>85</v>
      </c>
      <c r="B4" s="54"/>
      <c r="C4" s="54"/>
      <c r="D4" s="54"/>
      <c r="E4" s="54"/>
      <c r="F4" s="55"/>
    </row>
    <row r="5" spans="1:18" ht="15">
      <c r="A5" s="56"/>
      <c r="B5" s="57" t="s">
        <v>86</v>
      </c>
      <c r="C5" s="57"/>
      <c r="D5" s="57"/>
      <c r="E5" s="57"/>
      <c r="F5" s="58"/>
      <c r="J5" s="268"/>
      <c r="K5" s="268"/>
      <c r="L5" s="268"/>
      <c r="M5" s="268"/>
      <c r="N5" s="268"/>
      <c r="O5" s="268"/>
      <c r="P5" s="268"/>
      <c r="Q5" s="268"/>
      <c r="R5" s="268"/>
    </row>
    <row r="6" spans="1:18" ht="15.75" thickBot="1">
      <c r="A6" s="56" t="s">
        <v>87</v>
      </c>
      <c r="B6" s="19" t="s">
        <v>47</v>
      </c>
      <c r="C6" s="19" t="s">
        <v>88</v>
      </c>
      <c r="D6" s="19" t="s">
        <v>89</v>
      </c>
      <c r="E6" s="19" t="s">
        <v>90</v>
      </c>
      <c r="F6" s="20" t="s">
        <v>91</v>
      </c>
      <c r="J6" s="268"/>
      <c r="K6" s="268"/>
      <c r="L6" s="268"/>
      <c r="M6" s="268"/>
      <c r="N6" s="268"/>
      <c r="O6" s="268"/>
      <c r="P6" s="268"/>
      <c r="Q6" s="268"/>
      <c r="R6" s="268"/>
    </row>
    <row r="7" spans="1:18" ht="15.75" thickTop="1">
      <c r="A7" s="21" t="s">
        <v>92</v>
      </c>
      <c r="B7" s="257">
        <f>'Costo de Materiales'!E10</f>
        <v>12676654.6875</v>
      </c>
      <c r="C7" s="257">
        <f>'Costo de Materiales'!F10</f>
        <v>20282647.5</v>
      </c>
      <c r="D7" s="257">
        <f>'Costo de Materiales'!G10</f>
        <v>20282647.5</v>
      </c>
      <c r="E7" s="257">
        <f>'Costo de Materiales'!H10</f>
        <v>20282647.5</v>
      </c>
      <c r="F7" s="257">
        <f>'Costo de Materiales'!I10</f>
        <v>20282647.5</v>
      </c>
      <c r="I7" s="14" t="s">
        <v>455</v>
      </c>
      <c r="J7" s="268"/>
      <c r="K7" s="268"/>
      <c r="L7" s="268"/>
      <c r="M7" s="268"/>
      <c r="N7" s="268"/>
      <c r="O7" s="268"/>
      <c r="P7" s="268"/>
      <c r="Q7" s="268"/>
      <c r="R7" s="268"/>
    </row>
    <row r="8" spans="1:18" ht="15">
      <c r="A8" s="24" t="s">
        <v>93</v>
      </c>
      <c r="B8" s="257">
        <f>Sueldos!$C$2*6*12</f>
        <v>1512000</v>
      </c>
      <c r="C8" s="257">
        <f>Sueldos!$C$2*6*12</f>
        <v>1512000</v>
      </c>
      <c r="D8" s="257">
        <f>Sueldos!$C$2*6*12</f>
        <v>1512000</v>
      </c>
      <c r="E8" s="257">
        <f>Sueldos!$C$2*6*12</f>
        <v>1512000</v>
      </c>
      <c r="F8" s="257">
        <f>Sueldos!$C$2*6*12</f>
        <v>1512000</v>
      </c>
      <c r="G8" s="14" t="s">
        <v>385</v>
      </c>
      <c r="J8" s="268"/>
      <c r="K8" s="268"/>
      <c r="L8" s="268"/>
      <c r="M8" s="268"/>
      <c r="N8" s="268"/>
      <c r="O8" s="268"/>
      <c r="P8" s="268"/>
      <c r="Q8" s="268"/>
      <c r="R8" s="268"/>
    </row>
    <row r="9" spans="1:18" ht="15">
      <c r="A9" s="24" t="s">
        <v>94</v>
      </c>
      <c r="B9" s="267"/>
      <c r="C9" s="267"/>
      <c r="D9" s="267"/>
      <c r="E9" s="267"/>
      <c r="F9" s="267"/>
      <c r="J9" s="268"/>
      <c r="K9" s="268"/>
      <c r="L9" s="268"/>
      <c r="M9" s="268"/>
      <c r="N9" s="268"/>
      <c r="O9" s="268"/>
      <c r="P9" s="268"/>
      <c r="Q9" s="268"/>
      <c r="R9" s="268"/>
    </row>
    <row r="10" spans="1:18" ht="15">
      <c r="A10" s="261" t="s">
        <v>95</v>
      </c>
      <c r="B10" s="262">
        <f>('E-Inv AF y Am'!D56-'E-Inv AF y Am'!D50)*0.9</f>
        <v>879885.7272000001</v>
      </c>
      <c r="C10" s="262">
        <f>('E-Inv AF y Am'!$D$56-'E-Inv AF y Am'!$D$50)*0.9</f>
        <v>879885.7272000001</v>
      </c>
      <c r="D10" s="262">
        <f>('E-Inv AF y Am'!$D$56-'E-Inv AF y Am'!$D$50)*0.9</f>
        <v>879885.7272000001</v>
      </c>
      <c r="E10" s="262">
        <f>('E-Inv AF y Am'!$E$56)*0.9</f>
        <v>879885.7272000001</v>
      </c>
      <c r="F10" s="262">
        <f>('E-Inv AF y Am'!$E$56)*0.9</f>
        <v>879885.7272000001</v>
      </c>
      <c r="G10" s="14" t="s">
        <v>388</v>
      </c>
      <c r="R10" s="268"/>
    </row>
    <row r="11" spans="1:18" ht="15">
      <c r="A11" s="24" t="s">
        <v>96</v>
      </c>
      <c r="B11" s="257">
        <f>(Sueldos!$C$9+Sueldos!$C$11+Sueldos!$C$12)*12*0.9</f>
        <v>1285200</v>
      </c>
      <c r="C11" s="257">
        <f>(Sueldos!$C$9+Sueldos!$C$11+Sueldos!$C$12)*12*0.9</f>
        <v>1285200</v>
      </c>
      <c r="D11" s="257">
        <f>(Sueldos!$C$9+Sueldos!$C$11+Sueldos!$C$12)*12*0.9</f>
        <v>1285200</v>
      </c>
      <c r="E11" s="257">
        <f>(Sueldos!$C$9+Sueldos!$C$11+Sueldos!$C$12)*12*0.9</f>
        <v>1285200</v>
      </c>
      <c r="F11" s="257">
        <f>(Sueldos!$C$9+Sueldos!$C$11+Sueldos!$C$12)*12*0.9</f>
        <v>1285200</v>
      </c>
      <c r="J11" s="268"/>
      <c r="K11" s="268"/>
      <c r="L11" s="268"/>
      <c r="M11" s="268"/>
      <c r="N11" s="268"/>
      <c r="O11" s="268"/>
      <c r="P11" s="268"/>
      <c r="Q11" s="268"/>
      <c r="R11" s="268"/>
    </row>
    <row r="12" spans="1:18" ht="15">
      <c r="A12" s="24" t="s">
        <v>97</v>
      </c>
      <c r="B12" s="257">
        <v>40000</v>
      </c>
      <c r="C12" s="257">
        <v>40000</v>
      </c>
      <c r="D12" s="257">
        <v>40000</v>
      </c>
      <c r="E12" s="257">
        <v>40000</v>
      </c>
      <c r="F12" s="257">
        <v>40000</v>
      </c>
      <c r="J12" s="268"/>
      <c r="K12" s="268"/>
      <c r="L12" s="268"/>
      <c r="M12" s="268"/>
      <c r="N12" s="268"/>
      <c r="O12" s="268"/>
      <c r="P12" s="268"/>
      <c r="Q12" s="268"/>
      <c r="R12" s="268"/>
    </row>
    <row r="13" spans="1:18" ht="15">
      <c r="A13" s="259" t="s">
        <v>98</v>
      </c>
      <c r="B13" s="257">
        <f>(13.6*8*20*12)*0.87</f>
        <v>22717.44</v>
      </c>
      <c r="C13" s="257">
        <f>(13.6*8*20*12)*0.87*(8/5)</f>
        <v>36347.904</v>
      </c>
      <c r="D13" s="257">
        <f>(13.6*8*20*12)*0.87*(8/5)</f>
        <v>36347.904</v>
      </c>
      <c r="E13" s="257">
        <f>(13.6*8*20*12)*0.87*(8/5)</f>
        <v>36347.904</v>
      </c>
      <c r="F13" s="257">
        <f>(13.6*8*20*12)*0.87*(8/5)</f>
        <v>36347.904</v>
      </c>
      <c r="G13" s="14" t="s">
        <v>386</v>
      </c>
      <c r="I13" s="14" t="s">
        <v>387</v>
      </c>
      <c r="J13" s="269"/>
      <c r="K13" s="268"/>
      <c r="L13" s="268"/>
      <c r="M13" s="268"/>
      <c r="N13" s="269"/>
      <c r="O13" s="269"/>
      <c r="P13" s="269"/>
      <c r="Q13" s="269"/>
      <c r="R13" s="269"/>
    </row>
    <row r="14" spans="1:6" ht="12.75">
      <c r="A14" s="24" t="s">
        <v>99</v>
      </c>
      <c r="B14" s="257">
        <v>0</v>
      </c>
      <c r="C14" s="257">
        <v>0</v>
      </c>
      <c r="D14" s="257">
        <v>0</v>
      </c>
      <c r="E14" s="257">
        <v>0</v>
      </c>
      <c r="F14" s="257">
        <v>0</v>
      </c>
    </row>
    <row r="15" spans="1:6" ht="12.75">
      <c r="A15" s="261" t="s">
        <v>100</v>
      </c>
      <c r="B15" s="262">
        <f>0.02*0.9*'E-Inv AF y Am'!$B$8</f>
        <v>83144.88</v>
      </c>
      <c r="C15" s="262">
        <f>0.02*0.9*'E-Inv AF y Am'!$B$8</f>
        <v>83144.88</v>
      </c>
      <c r="D15" s="262">
        <f>0.02*0.9*'E-Inv AF y Am'!$B$8</f>
        <v>83144.88</v>
      </c>
      <c r="E15" s="262">
        <f>0.02*0.9*'E-Inv AF y Am'!$B$8</f>
        <v>83144.88</v>
      </c>
      <c r="F15" s="262">
        <f>0.02*0.9*'E-Inv AF y Am'!$B$8</f>
        <v>83144.88</v>
      </c>
    </row>
    <row r="16" spans="1:6" ht="12.75">
      <c r="A16" s="24" t="s">
        <v>15</v>
      </c>
      <c r="B16" s="257">
        <f>SUM(B7:B15)*0.02</f>
        <v>329992.054694</v>
      </c>
      <c r="C16" s="257">
        <f>SUM(C7:C15)*0.02</f>
        <v>482384.520224</v>
      </c>
      <c r="D16" s="257">
        <f>SUM(D7:D15)*0.02</f>
        <v>482384.520224</v>
      </c>
      <c r="E16" s="257">
        <f>SUM(E7:E15)*0.02</f>
        <v>482384.520224</v>
      </c>
      <c r="F16" s="257">
        <f>SUM(F7:F15)*0.02</f>
        <v>482384.520224</v>
      </c>
    </row>
    <row r="17" spans="1:6" ht="12.75">
      <c r="A17" s="22" t="s">
        <v>101</v>
      </c>
      <c r="B17" s="263">
        <f>SUM(B7:B16)</f>
        <v>16829594.789394</v>
      </c>
      <c r="C17" s="263">
        <f>SUM(C7:C16)</f>
        <v>24601610.531424</v>
      </c>
      <c r="D17" s="263">
        <f>SUM(D7:D16)</f>
        <v>24601610.531424</v>
      </c>
      <c r="E17" s="263">
        <f>SUM(E7:E16)</f>
        <v>24601610.531424</v>
      </c>
      <c r="F17" s="263">
        <f>SUM(F7:F16)</f>
        <v>24601610.531424</v>
      </c>
    </row>
    <row r="18" spans="1:6" ht="12.75">
      <c r="A18" s="63"/>
      <c r="B18" s="64"/>
      <c r="C18" s="64"/>
      <c r="D18" s="64"/>
      <c r="E18" s="64"/>
      <c r="F18" s="65"/>
    </row>
    <row r="19" spans="1:6" ht="12.75">
      <c r="A19" s="297" t="s">
        <v>102</v>
      </c>
      <c r="B19" s="298">
        <f>SUM(B10:B16)/B17</f>
        <v>0.15692238196717126</v>
      </c>
      <c r="C19" s="298">
        <f>SUM(C10:C16)/C17</f>
        <v>0.11409671849892203</v>
      </c>
      <c r="D19" s="298">
        <f>SUM(D10:D16)/D17</f>
        <v>0.11409671849892203</v>
      </c>
      <c r="E19" s="298">
        <f>SUM(E10:E16)/E17</f>
        <v>0.11409671849892203</v>
      </c>
      <c r="F19" s="298">
        <f>SUM(F10:F16)/F17</f>
        <v>0.11409671849892203</v>
      </c>
    </row>
    <row r="20" spans="1:6" ht="12.75">
      <c r="A20" s="299" t="s">
        <v>103</v>
      </c>
      <c r="B20" s="300">
        <f>(B7+B8)/B17</f>
        <v>0.8430776180328289</v>
      </c>
      <c r="C20" s="300">
        <f>(C7+C8)/C17</f>
        <v>0.8859032815010779</v>
      </c>
      <c r="D20" s="300">
        <f>(D7+D8)/D17</f>
        <v>0.8859032815010779</v>
      </c>
      <c r="E20" s="300">
        <f>(E7+E8)/E17</f>
        <v>0.8859032815010779</v>
      </c>
      <c r="F20" s="300">
        <f>(F7+F8)/F17</f>
        <v>0.8859032815010779</v>
      </c>
    </row>
    <row r="22" spans="1:7" ht="12.75">
      <c r="A22" s="70"/>
      <c r="B22" s="16" t="s">
        <v>104</v>
      </c>
      <c r="C22" s="16"/>
      <c r="D22" s="16"/>
      <c r="E22" s="16"/>
      <c r="F22" s="16"/>
      <c r="G22" s="17"/>
    </row>
    <row r="23" spans="1:7" ht="12.75">
      <c r="A23" s="56"/>
      <c r="B23" s="57" t="s">
        <v>105</v>
      </c>
      <c r="C23" s="57"/>
      <c r="D23" s="57"/>
      <c r="E23" s="57"/>
      <c r="F23" s="57"/>
      <c r="G23" s="58" t="s">
        <v>106</v>
      </c>
    </row>
    <row r="24" spans="1:7" ht="13.5" thickBot="1">
      <c r="A24" s="56" t="s">
        <v>87</v>
      </c>
      <c r="B24" s="71" t="s">
        <v>47</v>
      </c>
      <c r="C24" s="71" t="s">
        <v>88</v>
      </c>
      <c r="D24" s="71" t="s">
        <v>89</v>
      </c>
      <c r="E24" s="71" t="s">
        <v>90</v>
      </c>
      <c r="F24" s="71" t="s">
        <v>91</v>
      </c>
      <c r="G24" s="72" t="s">
        <v>47</v>
      </c>
    </row>
    <row r="25" spans="1:10" ht="13.5" thickTop="1">
      <c r="A25" s="21" t="s">
        <v>92</v>
      </c>
      <c r="B25" s="280">
        <f>'Ej11 '!F9*'Costo de Materiales'!D3+'Ej11 '!F10*'Costo de Materiales'!D4+'Ej11 '!F11*'Costo de Materiales'!D5</f>
        <v>158280.88888888888</v>
      </c>
      <c r="C25" s="280">
        <f>B25</f>
        <v>158280.88888888888</v>
      </c>
      <c r="D25" s="280">
        <f>C25</f>
        <v>158280.88888888888</v>
      </c>
      <c r="E25" s="280">
        <f>D25</f>
        <v>158280.88888888888</v>
      </c>
      <c r="F25" s="280">
        <f>E25</f>
        <v>158280.88888888888</v>
      </c>
      <c r="G25" s="281">
        <f>B25*M33</f>
        <v>63312.35555555555</v>
      </c>
      <c r="H25" s="306"/>
      <c r="I25" s="301">
        <f>'Ej9'!B3*0.25/340/2</f>
        <v>183.8235294117647</v>
      </c>
      <c r="J25" s="14" t="s">
        <v>454</v>
      </c>
    </row>
    <row r="26" spans="1:9" ht="12.75">
      <c r="A26" s="24" t="s">
        <v>93</v>
      </c>
      <c r="B26" s="257">
        <f>'Ej9'!B3*0.05/2</f>
        <v>12500</v>
      </c>
      <c r="C26" s="257">
        <f>$B$26</f>
        <v>12500</v>
      </c>
      <c r="D26" s="257">
        <f>$B$26</f>
        <v>12500</v>
      </c>
      <c r="E26" s="257">
        <f>$B$26</f>
        <v>12500</v>
      </c>
      <c r="F26" s="257">
        <f>$B$26</f>
        <v>12500</v>
      </c>
      <c r="G26" s="258">
        <f>B26*M33</f>
        <v>5000</v>
      </c>
      <c r="H26" s="306"/>
      <c r="I26" s="301"/>
    </row>
    <row r="27" spans="1:7" ht="12.75">
      <c r="A27" s="24" t="s">
        <v>94</v>
      </c>
      <c r="B27" s="242" t="s">
        <v>434</v>
      </c>
      <c r="C27" s="242" t="s">
        <v>434</v>
      </c>
      <c r="D27" s="242" t="s">
        <v>434</v>
      </c>
      <c r="E27" s="242" t="s">
        <v>434</v>
      </c>
      <c r="F27" s="242" t="s">
        <v>434</v>
      </c>
      <c r="G27" s="250" t="s">
        <v>434</v>
      </c>
    </row>
    <row r="28" spans="1:12" ht="12.75">
      <c r="A28" s="24" t="s">
        <v>95</v>
      </c>
      <c r="B28" s="257">
        <f>('E-Inv AF y Am'!D56-'E-Inv AF y Am'!D50)*0.9*(I25/J30)</f>
        <v>1271.731697982309</v>
      </c>
      <c r="C28" s="257">
        <f>('E-Inv AF y Am'!$D$56-'E-Inv AF y Am'!$D$50)*0.9*($I$25/$J$30)</f>
        <v>1271.731697982309</v>
      </c>
      <c r="D28" s="257">
        <f>('E-Inv AF y Am'!$D$56-'E-Inv AF y Am'!$D$50)*0.9*($I$25/$J$30)</f>
        <v>1271.731697982309</v>
      </c>
      <c r="E28" s="257">
        <f>('E-Inv AF y Am'!$D$56-'E-Inv AF y Am'!$D$50)*0.9*($I$25/$J$30)</f>
        <v>1271.731697982309</v>
      </c>
      <c r="F28" s="257">
        <f>('E-Inv AF y Am'!$D$56-'E-Inv AF y Am'!$D$50)*0.9*($I$25/$J$30)</f>
        <v>1271.731697982309</v>
      </c>
      <c r="G28" s="258" t="s">
        <v>434</v>
      </c>
      <c r="I28" s="14">
        <f>'Ej9'!B3*0.25</f>
        <v>125000</v>
      </c>
      <c r="J28" s="14" t="s">
        <v>452</v>
      </c>
      <c r="K28" s="14">
        <f>'Ej9'!B4*0.25</f>
        <v>200000</v>
      </c>
      <c r="L28" s="14" t="s">
        <v>453</v>
      </c>
    </row>
    <row r="29" spans="1:7" ht="12.75">
      <c r="A29" s="24" t="s">
        <v>96</v>
      </c>
      <c r="B29" s="257">
        <f>(Sueldos!$C$9+Sueldos!$C$11+Sueldos!$C$12)*0.9*12*($I$25/J30)</f>
        <v>1857.547551598543</v>
      </c>
      <c r="C29" s="257">
        <f>(Sueldos!$C$9+Sueldos!$C$11+Sueldos!$C$12)*12*($I$25/$J$30)</f>
        <v>2063.941723998381</v>
      </c>
      <c r="D29" s="257">
        <f>(Sueldos!$C$9+Sueldos!$C$11+Sueldos!$C$12)*12*($I$25/$J$30)</f>
        <v>2063.941723998381</v>
      </c>
      <c r="E29" s="257">
        <f>(Sueldos!$C$9+Sueldos!$C$11+Sueldos!$C$12)*12*($I$25/$J$30)</f>
        <v>2063.941723998381</v>
      </c>
      <c r="F29" s="257">
        <f>(Sueldos!$C$9+Sueldos!$C$11+Sueldos!$C$12)*12*($I$25/$J$30)</f>
        <v>2063.941723998381</v>
      </c>
      <c r="G29" s="258" t="s">
        <v>434</v>
      </c>
    </row>
    <row r="30" spans="1:11" ht="12.75">
      <c r="A30" s="24" t="s">
        <v>97</v>
      </c>
      <c r="B30" s="257">
        <f>B12*(I25/J30)</f>
        <v>57.813493669422435</v>
      </c>
      <c r="C30" s="257">
        <f>C12*(I25/J30)</f>
        <v>57.813493669422435</v>
      </c>
      <c r="D30" s="257">
        <f aca="true" t="shared" si="0" ref="D30:F31">C30</f>
        <v>57.813493669422435</v>
      </c>
      <c r="E30" s="257">
        <f t="shared" si="0"/>
        <v>57.813493669422435</v>
      </c>
      <c r="F30" s="257">
        <f t="shared" si="0"/>
        <v>57.813493669422435</v>
      </c>
      <c r="G30" s="258">
        <f>B30*M33</f>
        <v>23.125397467768977</v>
      </c>
      <c r="J30" s="301">
        <f>I28+I25+('Ej11 '!F4*0.25)</f>
        <v>127183.82352941176</v>
      </c>
      <c r="K30" s="14" t="s">
        <v>457</v>
      </c>
    </row>
    <row r="31" spans="1:10" ht="12.75">
      <c r="A31" s="24" t="s">
        <v>107</v>
      </c>
      <c r="B31" s="257">
        <f>B13*(I25/J30)</f>
        <v>32.8343643406371</v>
      </c>
      <c r="C31" s="257">
        <f>C13*(I25/J30)</f>
        <v>52.534982945019365</v>
      </c>
      <c r="D31" s="257">
        <f t="shared" si="0"/>
        <v>52.534982945019365</v>
      </c>
      <c r="E31" s="257">
        <f t="shared" si="0"/>
        <v>52.534982945019365</v>
      </c>
      <c r="F31" s="257">
        <f t="shared" si="0"/>
        <v>52.534982945019365</v>
      </c>
      <c r="G31" s="258">
        <f>B31*M33</f>
        <v>13.133745736254841</v>
      </c>
      <c r="J31" s="301"/>
    </row>
    <row r="32" spans="1:7" ht="12.75">
      <c r="A32" s="24" t="s">
        <v>108</v>
      </c>
      <c r="B32" s="257" t="s">
        <v>434</v>
      </c>
      <c r="C32" s="257" t="s">
        <v>434</v>
      </c>
      <c r="D32" s="257" t="s">
        <v>434</v>
      </c>
      <c r="E32" s="257" t="s">
        <v>434</v>
      </c>
      <c r="F32" s="257" t="s">
        <v>434</v>
      </c>
      <c r="G32" s="258" t="s">
        <v>434</v>
      </c>
    </row>
    <row r="33" spans="1:13" ht="12.75">
      <c r="A33" s="24" t="s">
        <v>109</v>
      </c>
      <c r="B33" s="257">
        <f>B15*(I25/J30)</f>
        <v>120.17239983812222</v>
      </c>
      <c r="C33" s="257">
        <f>C15*($I$25/$J$30)</f>
        <v>120.17239983812222</v>
      </c>
      <c r="D33" s="257">
        <f aca="true" t="shared" si="1" ref="D33:F34">C33</f>
        <v>120.17239983812222</v>
      </c>
      <c r="E33" s="257">
        <f t="shared" si="1"/>
        <v>120.17239983812222</v>
      </c>
      <c r="F33" s="257">
        <f t="shared" si="1"/>
        <v>120.17239983812222</v>
      </c>
      <c r="G33" s="258" t="s">
        <v>434</v>
      </c>
      <c r="I33" s="354" t="s">
        <v>458</v>
      </c>
      <c r="J33" s="354"/>
      <c r="K33" s="354"/>
      <c r="L33" s="354"/>
      <c r="M33" s="14">
        <v>0.4</v>
      </c>
    </row>
    <row r="34" spans="1:7" ht="12.75">
      <c r="A34" s="24" t="s">
        <v>110</v>
      </c>
      <c r="B34" s="257">
        <f>B16*(I25/J30)</f>
        <v>476.9498391252818</v>
      </c>
      <c r="C34" s="257">
        <f>C16*(I25/J30)</f>
        <v>697.2083601549401</v>
      </c>
      <c r="D34" s="257">
        <f t="shared" si="1"/>
        <v>697.2083601549401</v>
      </c>
      <c r="E34" s="257">
        <f t="shared" si="1"/>
        <v>697.2083601549401</v>
      </c>
      <c r="F34" s="242">
        <f t="shared" si="1"/>
        <v>697.2083601549401</v>
      </c>
      <c r="G34" s="258" t="s">
        <v>434</v>
      </c>
    </row>
    <row r="35" spans="1:7" ht="12.75">
      <c r="A35" s="304" t="s">
        <v>111</v>
      </c>
      <c r="B35" s="296">
        <f aca="true" t="shared" si="2" ref="B35:G35">SUM(B25:B34)</f>
        <v>174597.9382354432</v>
      </c>
      <c r="C35" s="296">
        <f t="shared" si="2"/>
        <v>175044.29154747707</v>
      </c>
      <c r="D35" s="296">
        <f t="shared" si="2"/>
        <v>175044.29154747707</v>
      </c>
      <c r="E35" s="296">
        <f t="shared" si="2"/>
        <v>175044.29154747707</v>
      </c>
      <c r="F35" s="296">
        <f t="shared" si="2"/>
        <v>175044.29154747707</v>
      </c>
      <c r="G35" s="303">
        <f t="shared" si="2"/>
        <v>68348.61469875957</v>
      </c>
    </row>
    <row r="36" spans="1:7" ht="12.75">
      <c r="A36" s="73"/>
      <c r="B36" s="74"/>
      <c r="C36" s="74"/>
      <c r="D36" s="74"/>
      <c r="E36" s="74"/>
      <c r="F36" s="74"/>
      <c r="G36" s="74"/>
    </row>
    <row r="37" spans="1:6" ht="12.75">
      <c r="A37" s="34"/>
      <c r="B37" s="75" t="s">
        <v>112</v>
      </c>
      <c r="C37" s="75"/>
      <c r="D37" s="75"/>
      <c r="E37" s="75"/>
      <c r="F37" s="76"/>
    </row>
    <row r="38" spans="1:7" ht="12.75">
      <c r="A38" s="32"/>
      <c r="B38" s="71" t="s">
        <v>47</v>
      </c>
      <c r="C38" s="71" t="s">
        <v>88</v>
      </c>
      <c r="D38" s="71" t="s">
        <v>89</v>
      </c>
      <c r="E38" s="71" t="s">
        <v>90</v>
      </c>
      <c r="F38" s="20" t="s">
        <v>91</v>
      </c>
      <c r="G38" s="74"/>
    </row>
    <row r="39" spans="1:7" ht="12.75">
      <c r="A39" s="38" t="s">
        <v>101</v>
      </c>
      <c r="B39" s="280">
        <f>B17</f>
        <v>16829594.789394</v>
      </c>
      <c r="C39" s="280">
        <f>C17</f>
        <v>24601610.531424</v>
      </c>
      <c r="D39" s="280">
        <f>D17</f>
        <v>24601610.531424</v>
      </c>
      <c r="E39" s="280">
        <f>E17</f>
        <v>24601610.531424</v>
      </c>
      <c r="F39" s="280">
        <f>F17</f>
        <v>24601610.531424</v>
      </c>
      <c r="G39" s="74"/>
    </row>
    <row r="40" spans="1:7" ht="12.75">
      <c r="A40" s="24" t="s">
        <v>113</v>
      </c>
      <c r="B40" s="257"/>
      <c r="C40" s="257"/>
      <c r="D40" s="257"/>
      <c r="E40" s="257"/>
      <c r="F40" s="250"/>
      <c r="G40" s="74"/>
    </row>
    <row r="41" spans="1:7" ht="12.75">
      <c r="A41" s="24" t="s">
        <v>114</v>
      </c>
      <c r="B41" s="257">
        <f>G35</f>
        <v>68348.61469875957</v>
      </c>
      <c r="C41" s="257">
        <v>0</v>
      </c>
      <c r="D41" s="257">
        <v>0</v>
      </c>
      <c r="E41" s="257">
        <v>0</v>
      </c>
      <c r="F41" s="257">
        <v>0</v>
      </c>
      <c r="G41" s="74"/>
    </row>
    <row r="42" spans="1:7" ht="12.75">
      <c r="A42" s="261" t="s">
        <v>115</v>
      </c>
      <c r="B42" s="262">
        <f>B35</f>
        <v>174597.9382354432</v>
      </c>
      <c r="C42" s="262">
        <f>C35-B35</f>
        <v>446.35331203386886</v>
      </c>
      <c r="D42" s="262">
        <f>D35-C35</f>
        <v>0</v>
      </c>
      <c r="E42" s="262">
        <f>E35-D35</f>
        <v>0</v>
      </c>
      <c r="F42" s="262">
        <f>F35-E35</f>
        <v>0</v>
      </c>
      <c r="G42" s="74"/>
    </row>
    <row r="43" spans="1:7" ht="12.75">
      <c r="A43" s="22" t="s">
        <v>116</v>
      </c>
      <c r="B43" s="257">
        <f>B39-SUM(B41:B42)</f>
        <v>16586648.236459795</v>
      </c>
      <c r="C43" s="257">
        <f>C39-SUM(C41:C42)</f>
        <v>24601164.178111967</v>
      </c>
      <c r="D43" s="257">
        <f>D39-SUM(D41:D42)</f>
        <v>24601610.531424</v>
      </c>
      <c r="E43" s="257">
        <f>E39-SUM(E41:E42)</f>
        <v>24601610.531424</v>
      </c>
      <c r="F43" s="257">
        <f>F39-SUM(F41:F42)</f>
        <v>24601610.531424</v>
      </c>
      <c r="G43" s="74"/>
    </row>
    <row r="44" spans="1:7" ht="12.75">
      <c r="A44" s="66" t="s">
        <v>117</v>
      </c>
      <c r="B44" s="77">
        <f>B43/'Ej11 '!F5</f>
        <v>32.650882355235815</v>
      </c>
      <c r="C44" s="77">
        <f>C43/'Ej11 '!$G$5</f>
        <v>30.751455222639958</v>
      </c>
      <c r="D44" s="77">
        <f>D43/'Ej11 '!$G$5</f>
        <v>30.75201316428</v>
      </c>
      <c r="E44" s="77">
        <f>E43/'Ej11 '!$G$5</f>
        <v>30.75201316428</v>
      </c>
      <c r="F44" s="77">
        <f>F43/'Ej11 '!$G$5</f>
        <v>30.75201316428</v>
      </c>
      <c r="G44" s="74"/>
    </row>
    <row r="45" spans="1:7" ht="12.75">
      <c r="A45" s="66"/>
      <c r="B45" s="77"/>
      <c r="C45" s="77"/>
      <c r="D45" s="77"/>
      <c r="E45" s="77"/>
      <c r="F45" s="78"/>
      <c r="G45" s="74"/>
    </row>
    <row r="46" spans="1:7" ht="12.75">
      <c r="A46" s="66" t="s">
        <v>102</v>
      </c>
      <c r="B46" s="307">
        <f>(SUM(B28:B34)+SUM(B10:B16)+SUM(G28:G34))/(B39+G35)</f>
        <v>0.15651569822059985</v>
      </c>
      <c r="C46" s="307">
        <f>(SUM(C28:C34)+SUM(C10:C16))/C39</f>
        <v>0.11427001620449877</v>
      </c>
      <c r="D46" s="307">
        <f>(SUM(D28:D34)+SUM(D10:D16))/D39</f>
        <v>0.11427001620449877</v>
      </c>
      <c r="E46" s="307">
        <f>(SUM(E28:E34)+SUM(E10:E16))/E39</f>
        <v>0.11427001620449877</v>
      </c>
      <c r="F46" s="307">
        <f>(SUM(F28:F34)+SUM(F10:F16))/F39</f>
        <v>0.11427001620449877</v>
      </c>
      <c r="G46" s="74"/>
    </row>
    <row r="47" spans="1:7" ht="12.75">
      <c r="A47" s="32" t="s">
        <v>103</v>
      </c>
      <c r="B47" s="308">
        <f>(SUM(B25:B26)+SUM(B7:B8)+SUM(G25:G26))/(B39+G35)</f>
        <v>0.8538167981110634</v>
      </c>
      <c r="C47" s="308">
        <f>(SUM(C25:C26)+SUM(C7:C8))/C39</f>
        <v>0.8928451395827164</v>
      </c>
      <c r="D47" s="308">
        <f>(SUM(D25:D26)+SUM(D7:D8))/D39</f>
        <v>0.8928451395827164</v>
      </c>
      <c r="E47" s="308">
        <f>(SUM(E25:E26)+SUM(E7:E8))/E39</f>
        <v>0.8928451395827164</v>
      </c>
      <c r="F47" s="308">
        <f>(SUM(F25:F26)+SUM(F7:F8))/F39</f>
        <v>0.8928451395827164</v>
      </c>
      <c r="G47" s="74"/>
    </row>
    <row r="50" spans="1:6" ht="12.75">
      <c r="A50" s="30"/>
      <c r="B50" s="16" t="s">
        <v>118</v>
      </c>
      <c r="C50" s="16"/>
      <c r="D50" s="16"/>
      <c r="E50" s="16"/>
      <c r="F50" s="17"/>
    </row>
    <row r="51" spans="1:6" ht="12.75">
      <c r="A51" s="81" t="s">
        <v>87</v>
      </c>
      <c r="B51" s="19" t="s">
        <v>47</v>
      </c>
      <c r="C51" s="19" t="s">
        <v>88</v>
      </c>
      <c r="D51" s="19" t="s">
        <v>89</v>
      </c>
      <c r="E51" s="19" t="s">
        <v>90</v>
      </c>
      <c r="F51" s="20" t="s">
        <v>91</v>
      </c>
    </row>
    <row r="52" spans="1:6" ht="12.75">
      <c r="A52" s="70" t="s">
        <v>119</v>
      </c>
      <c r="B52" s="82">
        <f>Sueldos!$C$10*12</f>
        <v>268800</v>
      </c>
      <c r="C52" s="82">
        <f>Sueldos!$C$10*12</f>
        <v>268800</v>
      </c>
      <c r="D52" s="82">
        <f>Sueldos!$C$10*12</f>
        <v>268800</v>
      </c>
      <c r="E52" s="82">
        <f>Sueldos!$C$10*12</f>
        <v>268800</v>
      </c>
      <c r="F52" s="82">
        <f>Sueldos!$C$10*12</f>
        <v>268800</v>
      </c>
    </row>
    <row r="53" spans="1:7" ht="12.75">
      <c r="A53" s="24" t="s">
        <v>120</v>
      </c>
      <c r="B53" s="260">
        <f>('E-Inv AF y Am'!D56-'E-Inv AF y Am'!D50)*0.05</f>
        <v>48882.540400000005</v>
      </c>
      <c r="C53" s="260">
        <f>('E-Inv AF y Am'!D56-'E-Inv AF y Am'!D50)*0.05</f>
        <v>48882.540400000005</v>
      </c>
      <c r="D53" s="260">
        <f>('E-Inv AF y Am'!D56-'E-Inv AF y Am'!D50)*0.05</f>
        <v>48882.540400000005</v>
      </c>
      <c r="E53" s="260">
        <f>'E-Inv AF y Am'!E56*0.05</f>
        <v>48882.540400000005</v>
      </c>
      <c r="F53" s="260">
        <f>'E-Inv AF y Am'!E56*0.05</f>
        <v>48882.540400000005</v>
      </c>
      <c r="G53" s="14" t="s">
        <v>389</v>
      </c>
    </row>
    <row r="54" spans="1:6" ht="12.75">
      <c r="A54" s="24" t="s">
        <v>97</v>
      </c>
      <c r="B54" s="61">
        <f>3000*12</f>
        <v>36000</v>
      </c>
      <c r="C54" s="61">
        <f>3000*12</f>
        <v>36000</v>
      </c>
      <c r="D54" s="61">
        <f>3000*12</f>
        <v>36000</v>
      </c>
      <c r="E54" s="61">
        <f>3000*12</f>
        <v>36000</v>
      </c>
      <c r="F54" s="61">
        <f>3000*12</f>
        <v>36000</v>
      </c>
    </row>
    <row r="55" spans="1:6" ht="12.75">
      <c r="A55" s="24" t="s">
        <v>121</v>
      </c>
      <c r="B55" s="61">
        <f>1000*12</f>
        <v>12000</v>
      </c>
      <c r="C55" s="61">
        <f>1000*12</f>
        <v>12000</v>
      </c>
      <c r="D55" s="61">
        <f>1000*12</f>
        <v>12000</v>
      </c>
      <c r="E55" s="61">
        <f>1000*12</f>
        <v>12000</v>
      </c>
      <c r="F55" s="61">
        <f>1000*12</f>
        <v>12000</v>
      </c>
    </row>
    <row r="56" spans="1:6" ht="12.75">
      <c r="A56" s="24" t="s">
        <v>122</v>
      </c>
      <c r="B56" s="61">
        <f>1500*12</f>
        <v>18000</v>
      </c>
      <c r="C56" s="61">
        <f>1500*12</f>
        <v>18000</v>
      </c>
      <c r="D56" s="61">
        <f>1500*12</f>
        <v>18000</v>
      </c>
      <c r="E56" s="61">
        <f>1500*12</f>
        <v>18000</v>
      </c>
      <c r="F56" s="61">
        <f>1500*12</f>
        <v>18000</v>
      </c>
    </row>
    <row r="57" spans="1:6" ht="12.75">
      <c r="A57" s="24" t="s">
        <v>123</v>
      </c>
      <c r="B57" s="61">
        <f>1000*12</f>
        <v>12000</v>
      </c>
      <c r="C57" s="61">
        <f>1000*12</f>
        <v>12000</v>
      </c>
      <c r="D57" s="61">
        <f>1000*12</f>
        <v>12000</v>
      </c>
      <c r="E57" s="61">
        <f>1000*12</f>
        <v>12000</v>
      </c>
      <c r="F57" s="61">
        <f>1000*12</f>
        <v>12000</v>
      </c>
    </row>
    <row r="58" spans="1:7" ht="12.75">
      <c r="A58" s="261" t="s">
        <v>100</v>
      </c>
      <c r="B58" s="270">
        <f>0.02*0.05*'E-Inv AF y Am'!B8+0.015*'E-Costos'!B87</f>
        <v>304619.16</v>
      </c>
      <c r="C58" s="270">
        <f>0.02*0.05*'E-Inv AF y Am'!B8+0.015*'E-Costos'!C87</f>
        <v>604619.16</v>
      </c>
      <c r="D58" s="270">
        <f>0.02*0.05*'E-Inv AF y Am'!B8+0.015*'E-Costos'!D87</f>
        <v>604619.16</v>
      </c>
      <c r="E58" s="270">
        <f>0.02*0.05*'E-Inv AF y Am'!B8+0.015*'E-Costos'!E87</f>
        <v>604619.16</v>
      </c>
      <c r="F58" s="270">
        <f>0.02*0.05*'E-Inv AF y Am'!B8+0.015*'E-Costos'!F87</f>
        <v>604619.16</v>
      </c>
      <c r="G58" s="14" t="s">
        <v>402</v>
      </c>
    </row>
    <row r="59" spans="1:6" ht="12.75">
      <c r="A59" s="24" t="s">
        <v>15</v>
      </c>
      <c r="B59" s="61">
        <f>SUM(B52:B58)*0.02</f>
        <v>14006.034008</v>
      </c>
      <c r="C59" s="61">
        <f>SUM(C52:C58)*0.02</f>
        <v>20006.034008</v>
      </c>
      <c r="D59" s="61">
        <f>SUM(D52:D58)*0.02</f>
        <v>20006.034008</v>
      </c>
      <c r="E59" s="61">
        <f>SUM(E52:E58)*0.02</f>
        <v>20006.034008</v>
      </c>
      <c r="F59" s="61">
        <f>SUM(F52:F58)*0.02</f>
        <v>20006.034008</v>
      </c>
    </row>
    <row r="60" spans="1:6" ht="12.75">
      <c r="A60" s="24"/>
      <c r="B60" s="44"/>
      <c r="C60" s="44"/>
      <c r="D60" s="44"/>
      <c r="E60" s="44"/>
      <c r="F60" s="46"/>
    </row>
    <row r="61" spans="1:6" ht="12.75">
      <c r="A61" s="22" t="s">
        <v>124</v>
      </c>
      <c r="B61" s="61">
        <f>SUM(B52:B59)</f>
        <v>714307.734408</v>
      </c>
      <c r="C61" s="61">
        <f>SUM(C52:C59)</f>
        <v>1020307.734408</v>
      </c>
      <c r="D61" s="61">
        <f>SUM(D52:D59)</f>
        <v>1020307.734408</v>
      </c>
      <c r="E61" s="61">
        <f>SUM(E52:E59)</f>
        <v>1020307.734408</v>
      </c>
      <c r="F61" s="61">
        <f>SUM(F52:F59)</f>
        <v>1020307.734408</v>
      </c>
    </row>
    <row r="62" spans="1:7" ht="12.75">
      <c r="A62" s="22"/>
      <c r="B62" s="84"/>
      <c r="C62" s="84"/>
      <c r="D62" s="84"/>
      <c r="E62" s="84"/>
      <c r="F62" s="85"/>
      <c r="G62" s="74"/>
    </row>
    <row r="63" spans="1:7" ht="12.75">
      <c r="A63" s="66" t="s">
        <v>102</v>
      </c>
      <c r="B63" s="86">
        <f>((B52+B53)/B61)</f>
        <v>0.44474184598223226</v>
      </c>
      <c r="C63" s="86">
        <f>((C52+C53)/C61)</f>
        <v>0.3113595336845357</v>
      </c>
      <c r="D63" s="86">
        <f>((D52+D53)/D61)</f>
        <v>0.3113595336845357</v>
      </c>
      <c r="E63" s="86">
        <f>((E52+E53)/E61)</f>
        <v>0.3113595336845357</v>
      </c>
      <c r="F63" s="86">
        <f>((F52+F53)/F61)</f>
        <v>0.3113595336845357</v>
      </c>
      <c r="G63" s="74"/>
    </row>
    <row r="64" spans="1:7" ht="12.75">
      <c r="A64" s="32" t="s">
        <v>103</v>
      </c>
      <c r="B64" s="79">
        <f>SUM(B54:B59)/B61</f>
        <v>0.5552581540177677</v>
      </c>
      <c r="C64" s="79">
        <f>SUM(C54:C59)/C61</f>
        <v>0.6886404663154644</v>
      </c>
      <c r="D64" s="79">
        <f>SUM(D54:D59)/D61</f>
        <v>0.6886404663154644</v>
      </c>
      <c r="E64" s="79">
        <f>SUM(E54:E59)/E61</f>
        <v>0.6886404663154644</v>
      </c>
      <c r="F64" s="79">
        <f>SUM(F54:F59)/F61</f>
        <v>0.6886404663154644</v>
      </c>
      <c r="G64" s="74"/>
    </row>
    <row r="67" spans="1:6" ht="12.75">
      <c r="A67" s="30"/>
      <c r="B67" s="16" t="s">
        <v>125</v>
      </c>
      <c r="C67" s="16"/>
      <c r="D67" s="16"/>
      <c r="E67" s="16"/>
      <c r="F67" s="17"/>
    </row>
    <row r="68" spans="1:6" ht="12.75">
      <c r="A68" s="81" t="s">
        <v>87</v>
      </c>
      <c r="B68" s="19" t="s">
        <v>47</v>
      </c>
      <c r="C68" s="19" t="s">
        <v>88</v>
      </c>
      <c r="D68" s="19" t="s">
        <v>89</v>
      </c>
      <c r="E68" s="19" t="s">
        <v>90</v>
      </c>
      <c r="F68" s="20" t="s">
        <v>91</v>
      </c>
    </row>
    <row r="69" spans="1:6" ht="13.5" thickTop="1">
      <c r="A69" s="21" t="s">
        <v>119</v>
      </c>
      <c r="B69" s="59">
        <f>Sueldos!$C$13*12</f>
        <v>420000</v>
      </c>
      <c r="C69" s="59">
        <f>Sueldos!$C$13*12</f>
        <v>420000</v>
      </c>
      <c r="D69" s="59">
        <f>Sueldos!$C$13*12</f>
        <v>420000</v>
      </c>
      <c r="E69" s="59">
        <f>Sueldos!$C$13*12</f>
        <v>420000</v>
      </c>
      <c r="F69" s="59">
        <f>Sueldos!$C$13*12</f>
        <v>420000</v>
      </c>
    </row>
    <row r="70" spans="1:6" ht="12.75">
      <c r="A70" s="261" t="s">
        <v>120</v>
      </c>
      <c r="B70" s="260">
        <f>('E-Inv AF y Am'!D56-'E-Inv AF y Am'!D50)*0.05</f>
        <v>48882.540400000005</v>
      </c>
      <c r="C70" s="260">
        <f>('E-Inv AF y Am'!D56-'E-Inv AF y Am'!D50)*0.05</f>
        <v>48882.540400000005</v>
      </c>
      <c r="D70" s="260">
        <f>('E-Inv AF y Am'!D56-'E-Inv AF y Am'!D50)*0.05</f>
        <v>48882.540400000005</v>
      </c>
      <c r="E70" s="260">
        <f>'E-Inv AF y Am'!E56*0.05</f>
        <v>48882.540400000005</v>
      </c>
      <c r="F70" s="260">
        <f>'E-Inv AF y Am'!E56*0.05</f>
        <v>48882.540400000005</v>
      </c>
    </row>
    <row r="71" spans="1:6" ht="12.75">
      <c r="A71" s="24" t="s">
        <v>97</v>
      </c>
      <c r="B71" s="61">
        <f>3000*12</f>
        <v>36000</v>
      </c>
      <c r="C71" s="61">
        <f>3000*12</f>
        <v>36000</v>
      </c>
      <c r="D71" s="61">
        <f>3000*12</f>
        <v>36000</v>
      </c>
      <c r="E71" s="61">
        <f>3000*12</f>
        <v>36000</v>
      </c>
      <c r="F71" s="61">
        <f>3000*12</f>
        <v>36000</v>
      </c>
    </row>
    <row r="72" spans="1:6" ht="12.75">
      <c r="A72" s="24" t="s">
        <v>122</v>
      </c>
      <c r="B72" s="61">
        <f>1500*12</f>
        <v>18000</v>
      </c>
      <c r="C72" s="61">
        <f>1500*12</f>
        <v>18000</v>
      </c>
      <c r="D72" s="61">
        <f>1500*12</f>
        <v>18000</v>
      </c>
      <c r="E72" s="61">
        <f>1500*12</f>
        <v>18000</v>
      </c>
      <c r="F72" s="61">
        <f>1500*12</f>
        <v>18000</v>
      </c>
    </row>
    <row r="73" spans="1:6" ht="12.75">
      <c r="A73" s="24" t="s">
        <v>123</v>
      </c>
      <c r="B73" s="61">
        <f>12*1000</f>
        <v>12000</v>
      </c>
      <c r="C73" s="61">
        <f>12*1000</f>
        <v>12000</v>
      </c>
      <c r="D73" s="61">
        <f>12*1000</f>
        <v>12000</v>
      </c>
      <c r="E73" s="61">
        <f>12*1000</f>
        <v>12000</v>
      </c>
      <c r="F73" s="61">
        <f>12*1000</f>
        <v>12000</v>
      </c>
    </row>
    <row r="74" spans="1:6" ht="12.75">
      <c r="A74" s="24" t="s">
        <v>100</v>
      </c>
      <c r="B74" s="61">
        <f>0.02*0.05*'E-Inv AF y Am'!$B$8+0.0275*'E-Costos'!B87</f>
        <v>554619.16</v>
      </c>
      <c r="C74" s="61">
        <f>0.02*0.05*'E-Inv AF y Am'!$B$8+0.0275*'E-Costos'!C87</f>
        <v>1104619.16</v>
      </c>
      <c r="D74" s="61">
        <f>0.02*0.05*'E-Inv AF y Am'!$B$8+0.0275*'E-Costos'!D87</f>
        <v>1104619.16</v>
      </c>
      <c r="E74" s="61">
        <f>0.02*0.05*'E-Inv AF y Am'!$B$8+0.0275*'E-Costos'!E87</f>
        <v>1104619.16</v>
      </c>
      <c r="F74" s="61">
        <f>0.02*0.05*'E-Inv AF y Am'!$B$8+0.0275*'E-Costos'!F87</f>
        <v>1104619.16</v>
      </c>
    </row>
    <row r="75" spans="1:6" ht="12.75">
      <c r="A75" s="24" t="s">
        <v>15</v>
      </c>
      <c r="B75" s="61">
        <f>SUM(B69:B74)*0.02</f>
        <v>21790.034008</v>
      </c>
      <c r="C75" s="61">
        <f>SUM(C69:C74)*0.02</f>
        <v>32790.034008</v>
      </c>
      <c r="D75" s="61">
        <f>SUM(D69:D74)*0.02</f>
        <v>32790.034008</v>
      </c>
      <c r="E75" s="61">
        <f>SUM(E69:E74)*0.02</f>
        <v>32790.034008</v>
      </c>
      <c r="F75" s="61">
        <f>SUM(F69:F74)*0.02</f>
        <v>32790.034008</v>
      </c>
    </row>
    <row r="76" spans="1:6" ht="12.75">
      <c r="A76" s="24"/>
      <c r="B76" s="44"/>
      <c r="C76" s="44"/>
      <c r="D76" s="44"/>
      <c r="E76" s="44"/>
      <c r="F76" s="46"/>
    </row>
    <row r="77" spans="1:6" ht="12.75">
      <c r="A77" s="22" t="s">
        <v>126</v>
      </c>
      <c r="B77" s="61">
        <f>SUM(B69:B75)</f>
        <v>1111291.734408</v>
      </c>
      <c r="C77" s="61">
        <f>SUM(C69:C75)</f>
        <v>1672291.734408</v>
      </c>
      <c r="D77" s="61">
        <f>SUM(D69:D75)</f>
        <v>1672291.734408</v>
      </c>
      <c r="E77" s="61">
        <f>SUM(E69:E75)</f>
        <v>1672291.734408</v>
      </c>
      <c r="F77" s="61">
        <f>SUM(F69:F75)</f>
        <v>1672291.734408</v>
      </c>
    </row>
    <row r="78" spans="1:6" ht="12.75">
      <c r="A78" s="22"/>
      <c r="B78" s="84"/>
      <c r="C78" s="84"/>
      <c r="D78" s="84"/>
      <c r="E78" s="84"/>
      <c r="F78" s="85"/>
    </row>
    <row r="79" spans="1:6" ht="12.75">
      <c r="A79" s="66" t="s">
        <v>102</v>
      </c>
      <c r="B79" s="86">
        <f>B69/B77</f>
        <v>0.37793856194182857</v>
      </c>
      <c r="C79" s="86">
        <f>C69/C77</f>
        <v>0.2511523506086587</v>
      </c>
      <c r="D79" s="86">
        <f>D69/D77</f>
        <v>0.2511523506086587</v>
      </c>
      <c r="E79" s="86">
        <f>E69/E77</f>
        <v>0.2511523506086587</v>
      </c>
      <c r="F79" s="86">
        <f>F69/F77</f>
        <v>0.2511523506086587</v>
      </c>
    </row>
    <row r="80" spans="1:6" ht="12.75">
      <c r="A80" s="32" t="s">
        <v>103</v>
      </c>
      <c r="B80" s="79">
        <f>SUM(B71:B75)/B77</f>
        <v>0.5780743022895064</v>
      </c>
      <c r="C80" s="79">
        <f>SUM(C71:C75)/C77</f>
        <v>0.7196167805218586</v>
      </c>
      <c r="D80" s="79">
        <f>SUM(D71:D75)/D77</f>
        <v>0.7196167805218586</v>
      </c>
      <c r="E80" s="79">
        <f>SUM(E71:E75)/E77</f>
        <v>0.7196167805218586</v>
      </c>
      <c r="F80" s="79">
        <f>SUM(F71:F75)/F77</f>
        <v>0.7196167805218586</v>
      </c>
    </row>
    <row r="83" spans="1:6" ht="15.75">
      <c r="A83" s="88" t="s">
        <v>127</v>
      </c>
      <c r="B83" s="89"/>
      <c r="C83" s="89"/>
      <c r="D83" s="89"/>
      <c r="E83" s="89"/>
      <c r="F83" s="90"/>
    </row>
    <row r="84" spans="1:6" ht="12.75">
      <c r="A84" s="24"/>
      <c r="B84" s="57" t="s">
        <v>47</v>
      </c>
      <c r="C84" s="57" t="s">
        <v>88</v>
      </c>
      <c r="D84" s="57" t="s">
        <v>89</v>
      </c>
      <c r="E84" s="57" t="s">
        <v>90</v>
      </c>
      <c r="F84" s="20" t="s">
        <v>91</v>
      </c>
    </row>
    <row r="85" spans="1:6" ht="12.75">
      <c r="A85" s="24" t="s">
        <v>128</v>
      </c>
      <c r="B85" s="255">
        <v>500000</v>
      </c>
      <c r="C85" s="255">
        <v>800000</v>
      </c>
      <c r="D85" s="255">
        <v>800000</v>
      </c>
      <c r="E85" s="255">
        <v>800000</v>
      </c>
      <c r="F85" s="256">
        <v>800000</v>
      </c>
    </row>
    <row r="86" spans="1:6" ht="12.75">
      <c r="A86" s="24" t="s">
        <v>129</v>
      </c>
      <c r="B86" s="61">
        <v>40</v>
      </c>
      <c r="C86" s="61">
        <v>50</v>
      </c>
      <c r="D86" s="61">
        <v>50</v>
      </c>
      <c r="E86" s="61">
        <v>50</v>
      </c>
      <c r="F86" s="62">
        <v>50</v>
      </c>
    </row>
    <row r="87" spans="1:6" ht="12.75">
      <c r="A87" s="22" t="s">
        <v>130</v>
      </c>
      <c r="B87" s="257">
        <f>B85*B86</f>
        <v>20000000</v>
      </c>
      <c r="C87" s="257">
        <f>C85*C86</f>
        <v>40000000</v>
      </c>
      <c r="D87" s="257">
        <f>D85*D86</f>
        <v>40000000</v>
      </c>
      <c r="E87" s="257">
        <f>E85*E86</f>
        <v>40000000</v>
      </c>
      <c r="F87" s="258">
        <f>F85*F86</f>
        <v>40000000</v>
      </c>
    </row>
    <row r="88" spans="1:6" ht="12.75">
      <c r="A88" s="24"/>
      <c r="B88" s="84"/>
      <c r="C88" s="84"/>
      <c r="D88" s="84"/>
      <c r="E88" s="84"/>
      <c r="F88" s="85"/>
    </row>
    <row r="89" spans="1:6" ht="12.75">
      <c r="A89" s="24" t="s">
        <v>131</v>
      </c>
      <c r="B89" s="61">
        <f aca="true" t="shared" si="3" ref="B89:F90">B7</f>
        <v>12676654.6875</v>
      </c>
      <c r="C89" s="61">
        <f t="shared" si="3"/>
        <v>20282647.5</v>
      </c>
      <c r="D89" s="61">
        <f t="shared" si="3"/>
        <v>20282647.5</v>
      </c>
      <c r="E89" s="61">
        <f t="shared" si="3"/>
        <v>20282647.5</v>
      </c>
      <c r="F89" s="61">
        <f t="shared" si="3"/>
        <v>20282647.5</v>
      </c>
    </row>
    <row r="90" spans="1:6" ht="12.75">
      <c r="A90" s="24" t="s">
        <v>93</v>
      </c>
      <c r="B90" s="61">
        <f t="shared" si="3"/>
        <v>1512000</v>
      </c>
      <c r="C90" s="61">
        <f t="shared" si="3"/>
        <v>1512000</v>
      </c>
      <c r="D90" s="61">
        <f t="shared" si="3"/>
        <v>1512000</v>
      </c>
      <c r="E90" s="61">
        <f t="shared" si="3"/>
        <v>1512000</v>
      </c>
      <c r="F90" s="61">
        <f t="shared" si="3"/>
        <v>1512000</v>
      </c>
    </row>
    <row r="91" spans="1:6" ht="12.75">
      <c r="A91" s="24" t="s">
        <v>132</v>
      </c>
      <c r="B91" s="61">
        <f>SUM(B10:B16)</f>
        <v>2640940.101894</v>
      </c>
      <c r="C91" s="61">
        <f>SUM(C10:C16)</f>
        <v>2806963.031424</v>
      </c>
      <c r="D91" s="61">
        <f>SUM(D10:D16)</f>
        <v>2806963.031424</v>
      </c>
      <c r="E91" s="61">
        <f>SUM(E10:E16)</f>
        <v>2806963.031424</v>
      </c>
      <c r="F91" s="61">
        <f>SUM(F10:F16)</f>
        <v>2806963.031424</v>
      </c>
    </row>
    <row r="92" spans="1:6" ht="12.75">
      <c r="A92" s="24"/>
      <c r="B92" s="84"/>
      <c r="C92" s="84"/>
      <c r="D92" s="84"/>
      <c r="E92" s="84"/>
      <c r="F92" s="85"/>
    </row>
    <row r="93" spans="1:6" ht="12.75">
      <c r="A93" s="24" t="s">
        <v>133</v>
      </c>
      <c r="B93" s="260">
        <f>SUM(B89:B91)</f>
        <v>16829594.789394</v>
      </c>
      <c r="C93" s="260">
        <f>SUM(C89:C91)</f>
        <v>24601610.531424</v>
      </c>
      <c r="D93" s="260">
        <f>SUM(D89:D91)</f>
        <v>24601610.531424</v>
      </c>
      <c r="E93" s="260">
        <f>SUM(E89:E91)</f>
        <v>24601610.531424</v>
      </c>
      <c r="F93" s="260">
        <f>SUM(F89:F91)</f>
        <v>24601610.531424</v>
      </c>
    </row>
    <row r="94" spans="1:6" ht="12.75">
      <c r="A94" s="24"/>
      <c r="B94" s="84"/>
      <c r="C94" s="84"/>
      <c r="D94" s="84"/>
      <c r="E94" s="84"/>
      <c r="F94" s="85"/>
    </row>
    <row r="95" spans="1:6" ht="12.75">
      <c r="A95" s="24" t="s">
        <v>113</v>
      </c>
      <c r="B95" s="84"/>
      <c r="C95" s="84"/>
      <c r="D95" s="84"/>
      <c r="E95" s="84"/>
      <c r="F95" s="85"/>
    </row>
    <row r="96" spans="1:6" ht="12.75">
      <c r="A96" s="26" t="s">
        <v>106</v>
      </c>
      <c r="B96" s="61">
        <f aca="true" t="shared" si="4" ref="B96:F97">B41</f>
        <v>68348.61469875957</v>
      </c>
      <c r="C96" s="61">
        <f t="shared" si="4"/>
        <v>0</v>
      </c>
      <c r="D96" s="61">
        <f t="shared" si="4"/>
        <v>0</v>
      </c>
      <c r="E96" s="61">
        <f t="shared" si="4"/>
        <v>0</v>
      </c>
      <c r="F96" s="61">
        <f t="shared" si="4"/>
        <v>0</v>
      </c>
    </row>
    <row r="97" spans="1:6" ht="12.75">
      <c r="A97" s="26" t="s">
        <v>115</v>
      </c>
      <c r="B97" s="61">
        <f t="shared" si="4"/>
        <v>174597.9382354432</v>
      </c>
      <c r="C97" s="61">
        <f t="shared" si="4"/>
        <v>446.35331203386886</v>
      </c>
      <c r="D97" s="61">
        <f t="shared" si="4"/>
        <v>0</v>
      </c>
      <c r="E97" s="61">
        <f t="shared" si="4"/>
        <v>0</v>
      </c>
      <c r="F97" s="61">
        <f t="shared" si="4"/>
        <v>0</v>
      </c>
    </row>
    <row r="98" spans="1:6" ht="12.75">
      <c r="A98" s="24"/>
      <c r="B98" s="84"/>
      <c r="C98" s="84"/>
      <c r="D98" s="84"/>
      <c r="E98" s="84"/>
      <c r="F98" s="85"/>
    </row>
    <row r="99" spans="1:6" ht="12.75">
      <c r="A99" s="22" t="s">
        <v>134</v>
      </c>
      <c r="B99" s="61">
        <f>(B93-B96-B97)</f>
        <v>16586648.236459795</v>
      </c>
      <c r="C99" s="61">
        <f>(C93-C96-C97)</f>
        <v>24601164.178111967</v>
      </c>
      <c r="D99" s="61">
        <f>(D93-D96-D97)</f>
        <v>24601610.531424</v>
      </c>
      <c r="E99" s="61">
        <f>(E93-E96-E97)</f>
        <v>24601610.531424</v>
      </c>
      <c r="F99" s="61">
        <f>(F93-F96-F97)</f>
        <v>24601610.531424</v>
      </c>
    </row>
    <row r="100" spans="1:6" ht="12.75">
      <c r="A100" s="26" t="s">
        <v>135</v>
      </c>
      <c r="B100" s="309">
        <f>'Ej11 '!F5</f>
        <v>508000</v>
      </c>
      <c r="C100" s="311">
        <f>'Ej11 '!$G$5</f>
        <v>800000</v>
      </c>
      <c r="D100" s="311">
        <f>'Ej11 '!$G$5</f>
        <v>800000</v>
      </c>
      <c r="E100" s="311">
        <f>'Ej11 '!$G$5</f>
        <v>800000</v>
      </c>
      <c r="F100" s="311">
        <f>'Ej11 '!$G$5</f>
        <v>800000</v>
      </c>
    </row>
    <row r="101" spans="1:6" ht="12.75">
      <c r="A101" s="24" t="s">
        <v>136</v>
      </c>
      <c r="B101" s="61">
        <f>B99/B100</f>
        <v>32.650882355235815</v>
      </c>
      <c r="C101" s="61">
        <f>C99/C100</f>
        <v>30.751455222639958</v>
      </c>
      <c r="D101" s="61">
        <f>D99/D100</f>
        <v>30.75201316428</v>
      </c>
      <c r="E101" s="61">
        <f>E99/E100</f>
        <v>30.75201316428</v>
      </c>
      <c r="F101" s="61">
        <f>F99/F100</f>
        <v>30.75201316428</v>
      </c>
    </row>
    <row r="102" spans="1:6" ht="12.75">
      <c r="A102" s="24"/>
      <c r="B102" s="95"/>
      <c r="C102" s="95"/>
      <c r="D102" s="95"/>
      <c r="E102" s="95"/>
      <c r="F102" s="96"/>
    </row>
    <row r="103" spans="1:6" ht="12.75">
      <c r="A103" s="24" t="s">
        <v>113</v>
      </c>
      <c r="B103" s="95"/>
      <c r="C103" s="95"/>
      <c r="D103" s="95"/>
      <c r="E103" s="95"/>
      <c r="F103" s="96"/>
    </row>
    <row r="104" spans="1:6" ht="12.75">
      <c r="A104" s="24" t="s">
        <v>137</v>
      </c>
      <c r="B104" s="310">
        <f>'Ej11 '!F4</f>
        <v>8000</v>
      </c>
      <c r="C104" s="399">
        <v>0</v>
      </c>
      <c r="D104" s="399">
        <v>0</v>
      </c>
      <c r="E104" s="399">
        <v>0</v>
      </c>
      <c r="F104" s="399">
        <v>0</v>
      </c>
    </row>
    <row r="105" spans="1:6" ht="12.75">
      <c r="A105" s="24"/>
      <c r="B105" s="95"/>
      <c r="C105" s="95"/>
      <c r="D105" s="95"/>
      <c r="E105" s="95"/>
      <c r="F105" s="96"/>
    </row>
    <row r="106" spans="1:6" ht="12.75">
      <c r="A106" s="22" t="s">
        <v>138</v>
      </c>
      <c r="B106" s="61">
        <f>B100*B101-B104*B101</f>
        <v>16325441.177617908</v>
      </c>
      <c r="C106" s="61">
        <f>C99</f>
        <v>24601164.178111967</v>
      </c>
      <c r="D106" s="61">
        <f>D99</f>
        <v>24601610.531424</v>
      </c>
      <c r="E106" s="61">
        <f>E99</f>
        <v>24601610.531424</v>
      </c>
      <c r="F106" s="61">
        <f>F99</f>
        <v>24601610.531424</v>
      </c>
    </row>
    <row r="107" spans="1:6" ht="12.75">
      <c r="A107" s="24"/>
      <c r="B107" s="84"/>
      <c r="C107" s="84"/>
      <c r="D107" s="84"/>
      <c r="E107" s="84"/>
      <c r="F107" s="85"/>
    </row>
    <row r="108" spans="1:6" ht="12.75">
      <c r="A108" s="22" t="s">
        <v>139</v>
      </c>
      <c r="B108" s="61">
        <f>B61</f>
        <v>714307.734408</v>
      </c>
      <c r="C108" s="61">
        <f>C61</f>
        <v>1020307.734408</v>
      </c>
      <c r="D108" s="61">
        <f>D61</f>
        <v>1020307.734408</v>
      </c>
      <c r="E108" s="61">
        <f>E61</f>
        <v>1020307.734408</v>
      </c>
      <c r="F108" s="61">
        <f>F61</f>
        <v>1020307.734408</v>
      </c>
    </row>
    <row r="109" spans="1:6" ht="12.75">
      <c r="A109" s="22" t="s">
        <v>140</v>
      </c>
      <c r="B109" s="260">
        <f>B77</f>
        <v>1111291.734408</v>
      </c>
      <c r="C109" s="260">
        <f>C77</f>
        <v>1672291.734408</v>
      </c>
      <c r="D109" s="260">
        <f>D77</f>
        <v>1672291.734408</v>
      </c>
      <c r="E109" s="260">
        <f>E77</f>
        <v>1672291.734408</v>
      </c>
      <c r="F109" s="260">
        <f>F77</f>
        <v>1672291.734408</v>
      </c>
    </row>
    <row r="110" spans="1:6" ht="12.75">
      <c r="A110" s="24"/>
      <c r="B110" s="95"/>
      <c r="C110" s="95"/>
      <c r="D110" s="95"/>
      <c r="E110" s="95"/>
      <c r="F110" s="96"/>
    </row>
    <row r="111" spans="1:6" ht="12.75">
      <c r="A111" s="22" t="s">
        <v>141</v>
      </c>
      <c r="B111" s="93">
        <f>B106+B108+B109</f>
        <v>18151040.646433905</v>
      </c>
      <c r="C111" s="93">
        <f>C106+C108+C109</f>
        <v>27293763.646927964</v>
      </c>
      <c r="D111" s="93">
        <f>D106+D108+D109</f>
        <v>27294210.000239998</v>
      </c>
      <c r="E111" s="93">
        <f>E106+E108+E109</f>
        <v>27294210.000239998</v>
      </c>
      <c r="F111" s="93">
        <f>F106+F108+F109</f>
        <v>27294210.000239998</v>
      </c>
    </row>
    <row r="112" spans="1:6" ht="12.75">
      <c r="A112" s="24"/>
      <c r="B112" s="95"/>
      <c r="C112" s="95"/>
      <c r="D112" s="95"/>
      <c r="E112" s="95"/>
      <c r="F112" s="96"/>
    </row>
    <row r="113" spans="1:6" ht="12.75">
      <c r="A113" s="22" t="s">
        <v>142</v>
      </c>
      <c r="B113" s="93">
        <f>B111/(B100-B104)</f>
        <v>36.30208129286781</v>
      </c>
      <c r="C113" s="93">
        <f>C111/C100</f>
        <v>34.11720455865996</v>
      </c>
      <c r="D113" s="93">
        <f>D111/D100</f>
        <v>34.117762500299996</v>
      </c>
      <c r="E113" s="93">
        <f>E111/E100</f>
        <v>34.117762500299996</v>
      </c>
      <c r="F113" s="93">
        <f>F111/F100</f>
        <v>34.117762500299996</v>
      </c>
    </row>
    <row r="114" spans="1:6" ht="12.75">
      <c r="A114" s="24"/>
      <c r="B114" s="95"/>
      <c r="C114" s="95"/>
      <c r="D114" s="95"/>
      <c r="E114" s="95"/>
      <c r="F114" s="96"/>
    </row>
    <row r="115" spans="1:6" ht="12.75">
      <c r="A115" s="22" t="s">
        <v>143</v>
      </c>
      <c r="B115" s="93">
        <f>B87-B111</f>
        <v>1848959.3535660952</v>
      </c>
      <c r="C115" s="93">
        <f>C87-C111</f>
        <v>12706236.353072036</v>
      </c>
      <c r="D115" s="93">
        <f>D87-D111</f>
        <v>12705789.999760002</v>
      </c>
      <c r="E115" s="93">
        <f>E87-E111</f>
        <v>12705789.999760002</v>
      </c>
      <c r="F115" s="93">
        <f>F87-F111</f>
        <v>12705789.999760002</v>
      </c>
    </row>
    <row r="116" spans="1:6" ht="12.75">
      <c r="A116" s="22" t="s">
        <v>3</v>
      </c>
      <c r="B116" s="93">
        <f>'E-Costos'!B115*InfoInicial!$B$5</f>
        <v>92447.96767830476</v>
      </c>
      <c r="C116" s="93">
        <f>'E-Costos'!C115*InfoInicial!$B$5</f>
        <v>635311.8176536019</v>
      </c>
      <c r="D116" s="93">
        <f>'E-Costos'!D115*InfoInicial!$B$5</f>
        <v>635289.4999880001</v>
      </c>
      <c r="E116" s="93">
        <f>'E-Costos'!E115*InfoInicial!$B$5</f>
        <v>635289.4999880001</v>
      </c>
      <c r="F116" s="93">
        <f>'E-Costos'!F115*InfoInicial!$B$5</f>
        <v>635289.4999880001</v>
      </c>
    </row>
    <row r="117" spans="1:6" ht="12.75">
      <c r="A117" s="43" t="s">
        <v>144</v>
      </c>
      <c r="B117" s="93">
        <f>(B115-B116)*InfoInicial!$B$4</f>
        <v>614778.9850607266</v>
      </c>
      <c r="C117" s="93">
        <f>(C115-C116)*InfoInicial!$B$4</f>
        <v>4224823.587396451</v>
      </c>
      <c r="D117" s="93">
        <f>(D115-D116)*InfoInicial!$B$4</f>
        <v>4224675.1749202</v>
      </c>
      <c r="E117" s="93">
        <f>(E115-E116)*InfoInicial!$B$4</f>
        <v>4224675.1749202</v>
      </c>
      <c r="F117" s="93">
        <f>(F115-F116)*InfoInicial!$B$4</f>
        <v>4224675.1749202</v>
      </c>
    </row>
    <row r="118" spans="1:6" ht="12.75">
      <c r="A118" s="22"/>
      <c r="B118" s="95"/>
      <c r="C118" s="95"/>
      <c r="D118" s="95"/>
      <c r="E118" s="95"/>
      <c r="F118" s="96"/>
    </row>
    <row r="119" spans="1:6" ht="12.75">
      <c r="A119" s="43" t="s">
        <v>145</v>
      </c>
      <c r="B119" s="93">
        <f>B115-B116-B117</f>
        <v>1141732.4008270637</v>
      </c>
      <c r="C119" s="93">
        <f>C115-C116-C117</f>
        <v>7846100.948021983</v>
      </c>
      <c r="D119" s="93">
        <f>D115-D116-D117</f>
        <v>7845825.324851801</v>
      </c>
      <c r="E119" s="93">
        <f>E115-E116-E117</f>
        <v>7845825.324851801</v>
      </c>
      <c r="F119" s="93">
        <f>F115-F116-F117</f>
        <v>7845825.324851801</v>
      </c>
    </row>
    <row r="120" spans="1:6" ht="12.75">
      <c r="A120" s="22" t="s">
        <v>146</v>
      </c>
      <c r="B120" s="97">
        <f>B119/B87</f>
        <v>0.05708662004135318</v>
      </c>
      <c r="C120" s="97">
        <f>C119/C87</f>
        <v>0.19615252370054956</v>
      </c>
      <c r="D120" s="97">
        <f>D119/D87</f>
        <v>0.19614563312129502</v>
      </c>
      <c r="E120" s="97">
        <f>E119/E87</f>
        <v>0.19614563312129502</v>
      </c>
      <c r="F120" s="97">
        <f>F119/F87</f>
        <v>0.19614563312129502</v>
      </c>
    </row>
    <row r="121" spans="1:6" ht="12.75">
      <c r="A121" s="22"/>
      <c r="B121" s="99"/>
      <c r="C121" s="99"/>
      <c r="D121" s="99"/>
      <c r="E121" s="99"/>
      <c r="F121" s="100"/>
    </row>
    <row r="122" spans="1:6" ht="12.75">
      <c r="A122" s="22" t="s">
        <v>147</v>
      </c>
      <c r="B122" s="97"/>
      <c r="C122" s="97"/>
      <c r="D122" s="97"/>
      <c r="E122" s="97"/>
      <c r="F122" s="98"/>
    </row>
    <row r="123" spans="1:6" ht="12.75">
      <c r="A123" s="43" t="s">
        <v>148</v>
      </c>
      <c r="B123" s="312">
        <f>B119</f>
        <v>1141732.4008270637</v>
      </c>
      <c r="C123" s="312">
        <f>C119</f>
        <v>7846100.948021983</v>
      </c>
      <c r="D123" s="312">
        <f>D119</f>
        <v>7845825.324851801</v>
      </c>
      <c r="E123" s="312">
        <f>E119</f>
        <v>7845825.324851801</v>
      </c>
      <c r="F123" s="312">
        <f>F119</f>
        <v>7845825.324851801</v>
      </c>
    </row>
    <row r="124" spans="1:6" ht="12.75">
      <c r="A124" s="22" t="s">
        <v>149</v>
      </c>
      <c r="B124" s="313">
        <f>'E-Inv AF y Am'!$D$56</f>
        <v>985630.8080000001</v>
      </c>
      <c r="C124" s="313">
        <f>'E-Inv AF y Am'!$D$56</f>
        <v>985630.8080000001</v>
      </c>
      <c r="D124" s="313">
        <f>'E-Inv AF y Am'!$D$56</f>
        <v>985630.8080000001</v>
      </c>
      <c r="E124" s="313">
        <f>'E-Inv AF y Am'!$E$56</f>
        <v>977650.8080000001</v>
      </c>
      <c r="F124" s="313">
        <f>'E-Inv AF y Am'!$E$56</f>
        <v>977650.8080000001</v>
      </c>
    </row>
    <row r="125" spans="1:6" ht="12.75">
      <c r="A125" s="32" t="s">
        <v>150</v>
      </c>
      <c r="B125" s="312">
        <f>SUM(B123:B124)</f>
        <v>2127363.208827064</v>
      </c>
      <c r="C125" s="312">
        <f>SUM(C123:C124)</f>
        <v>8831731.756021982</v>
      </c>
      <c r="D125" s="312">
        <f>SUM(D123:D124)</f>
        <v>8831456.1328518</v>
      </c>
      <c r="E125" s="312">
        <f>SUM(E123:E124)</f>
        <v>8823476.1328518</v>
      </c>
      <c r="F125" s="312">
        <f>SUM(F123:F124)</f>
        <v>8823476.1328518</v>
      </c>
    </row>
    <row r="126" spans="1:6" ht="12.75">
      <c r="A126" s="22"/>
      <c r="B126" s="27"/>
      <c r="C126" s="27"/>
      <c r="D126" s="27"/>
      <c r="E126" s="27"/>
      <c r="F126" s="101"/>
    </row>
    <row r="127" spans="1:6" ht="13.5" thickBot="1">
      <c r="A127" s="22" t="s">
        <v>151</v>
      </c>
      <c r="B127" s="25">
        <f>(SUM(B10:B16)+SUM(B28:B34)+SUM(G28:G34))</f>
        <v>2644793.410383758</v>
      </c>
      <c r="C127" s="25">
        <f>(SUM(C10:C16)+SUM(C28:C34))</f>
        <v>2811226.434082588</v>
      </c>
      <c r="D127" s="25">
        <f>(SUM(D10:D16)+SUM(D28:D34))</f>
        <v>2811226.434082588</v>
      </c>
      <c r="E127" s="25">
        <f>(SUM(E10:E16)+SUM(E28:E34))</f>
        <v>2811226.434082588</v>
      </c>
      <c r="F127" s="25">
        <f>(SUM(F10:F16)+SUM(F28:F34))</f>
        <v>2811226.434082588</v>
      </c>
    </row>
    <row r="128" spans="1:10" ht="12.75">
      <c r="A128" s="43" t="s">
        <v>152</v>
      </c>
      <c r="B128" s="25">
        <f>(SUM(B7:B8)+SUM(B25:B26)+G25+G26)</f>
        <v>14427747.931944443</v>
      </c>
      <c r="C128" s="25">
        <f>(SUM(C7:C8)+SUM(C25:C26))</f>
        <v>21965428.388888888</v>
      </c>
      <c r="D128" s="25">
        <f>(SUM(D7:D8)+SUM(D25:D26))</f>
        <v>21965428.388888888</v>
      </c>
      <c r="E128" s="25">
        <f>(SUM(E7:E8)+SUM(E25:E26))</f>
        <v>21965428.388888888</v>
      </c>
      <c r="F128" s="25">
        <f>(SUM(F7:F8)+SUM(F25:F26))</f>
        <v>21965428.388888888</v>
      </c>
      <c r="H128" s="317" t="s">
        <v>456</v>
      </c>
      <c r="I128" s="318" t="s">
        <v>459</v>
      </c>
      <c r="J128" s="319">
        <f>(B128+B130+B132)</f>
        <v>15466782.319960443</v>
      </c>
    </row>
    <row r="129" spans="1:10" ht="12.75">
      <c r="A129" s="22" t="s">
        <v>153</v>
      </c>
      <c r="B129" s="25">
        <f>SUM(B52:B53)</f>
        <v>317682.5404</v>
      </c>
      <c r="C129" s="25">
        <f>SUM(C52:C53)</f>
        <v>317682.5404</v>
      </c>
      <c r="D129" s="25">
        <f>SUM(D52:D53)</f>
        <v>317682.5404</v>
      </c>
      <c r="E129" s="25">
        <f>SUM(E52:E53)</f>
        <v>317682.5404</v>
      </c>
      <c r="F129" s="25">
        <f>SUM(F52:F53)</f>
        <v>317682.5404</v>
      </c>
      <c r="H129" s="320"/>
      <c r="I129" s="321" t="s">
        <v>460</v>
      </c>
      <c r="J129" s="322">
        <f>B127+B129+B131</f>
        <v>3431358.491183758</v>
      </c>
    </row>
    <row r="130" spans="1:10" ht="12.75">
      <c r="A130" s="43" t="s">
        <v>154</v>
      </c>
      <c r="B130" s="25">
        <f>SUM(B54:B59)</f>
        <v>396625.19400799996</v>
      </c>
      <c r="C130" s="25">
        <f>SUM(C54:C59)</f>
        <v>702625.1940080001</v>
      </c>
      <c r="D130" s="25">
        <f>SUM(D54:D59)</f>
        <v>702625.1940080001</v>
      </c>
      <c r="E130" s="25">
        <f>SUM(E54:E59)</f>
        <v>702625.1940080001</v>
      </c>
      <c r="F130" s="25">
        <f>SUM(F54:F59)</f>
        <v>702625.1940080001</v>
      </c>
      <c r="G130" s="315"/>
      <c r="H130" s="320"/>
      <c r="I130" s="321" t="s">
        <v>461</v>
      </c>
      <c r="J130" s="322">
        <f>J128/500000</f>
        <v>30.93356463992089</v>
      </c>
    </row>
    <row r="131" spans="1:10" ht="13.5" thickBot="1">
      <c r="A131" s="22" t="s">
        <v>155</v>
      </c>
      <c r="B131" s="25">
        <f>SUM(B69:B70)</f>
        <v>468882.5404</v>
      </c>
      <c r="C131" s="25">
        <f>SUM(C69:C70)</f>
        <v>468882.5404</v>
      </c>
      <c r="D131" s="25">
        <f>SUM(D69:D70)</f>
        <v>468882.5404</v>
      </c>
      <c r="E131" s="25">
        <f>SUM(E69:E70)</f>
        <v>468882.5404</v>
      </c>
      <c r="F131" s="25">
        <f>SUM(F69:F70)</f>
        <v>468882.5404</v>
      </c>
      <c r="H131" s="323"/>
      <c r="I131" s="324" t="s">
        <v>462</v>
      </c>
      <c r="J131" s="325">
        <f>J129/(B86-J130)</f>
        <v>378468.3125070906</v>
      </c>
    </row>
    <row r="132" spans="1:6" ht="12.75">
      <c r="A132" s="43" t="s">
        <v>156</v>
      </c>
      <c r="B132" s="25">
        <f>SUM(B71:B75)</f>
        <v>642409.1940080001</v>
      </c>
      <c r="C132" s="25">
        <f>SUM(C71:C75)</f>
        <v>1203409.194008</v>
      </c>
      <c r="D132" s="25">
        <f>SUM(D71:D75)</f>
        <v>1203409.194008</v>
      </c>
      <c r="E132" s="25">
        <f>SUM(E71:E75)</f>
        <v>1203409.194008</v>
      </c>
      <c r="F132" s="25">
        <f>SUM(F71:F75)</f>
        <v>1203409.194008</v>
      </c>
    </row>
    <row r="133" spans="1:6" ht="13.5" thickBot="1">
      <c r="A133" s="22" t="s">
        <v>157</v>
      </c>
      <c r="B133" s="25">
        <f>B87-(B128+B130+B132)</f>
        <v>4533217.680039557</v>
      </c>
      <c r="C133" s="25">
        <f>C87-(C128+C130+C132)</f>
        <v>16128537.223095112</v>
      </c>
      <c r="D133" s="25">
        <f>D87-(D128+D130+D132)</f>
        <v>16128537.223095112</v>
      </c>
      <c r="E133" s="25">
        <f>E87-(E128+E130+E132)</f>
        <v>16128537.223095112</v>
      </c>
      <c r="F133" s="25">
        <f>F87-(F128+F130+F132)</f>
        <v>16128537.223095112</v>
      </c>
    </row>
    <row r="134" spans="1:10" ht="13.5" thickBot="1">
      <c r="A134" s="32" t="s">
        <v>158</v>
      </c>
      <c r="B134" s="316">
        <f>J131</f>
        <v>378468.3125070906</v>
      </c>
      <c r="C134" s="327">
        <f>J137</f>
        <v>178455.93633777343</v>
      </c>
      <c r="D134" s="327">
        <f>J137</f>
        <v>178455.93633777343</v>
      </c>
      <c r="E134" s="327">
        <f>J137</f>
        <v>178455.93633777343</v>
      </c>
      <c r="F134" s="328">
        <f>J137</f>
        <v>178455.93633777343</v>
      </c>
      <c r="G134" s="314"/>
      <c r="H134" s="317" t="s">
        <v>463</v>
      </c>
      <c r="I134" s="318" t="s">
        <v>459</v>
      </c>
      <c r="J134" s="326">
        <f>C128+C130+C132</f>
        <v>23871462.77690489</v>
      </c>
    </row>
    <row r="135" spans="1:10" ht="16.5" thickTop="1">
      <c r="A135" s="102" t="s">
        <v>159</v>
      </c>
      <c r="H135" s="320"/>
      <c r="I135" s="321" t="s">
        <v>460</v>
      </c>
      <c r="J135" s="322">
        <f>C127+C129+C131</f>
        <v>3597791.514882588</v>
      </c>
    </row>
    <row r="136" spans="8:10" ht="12.75">
      <c r="H136" s="320"/>
      <c r="I136" s="321" t="s">
        <v>461</v>
      </c>
      <c r="J136" s="322">
        <f>J134/800000</f>
        <v>29.83932847113111</v>
      </c>
    </row>
    <row r="137" spans="8:10" ht="13.5" thickBot="1">
      <c r="H137" s="323"/>
      <c r="I137" s="324" t="s">
        <v>462</v>
      </c>
      <c r="J137" s="325">
        <f>J135/(C86-J136)</f>
        <v>178455.93633777343</v>
      </c>
    </row>
    <row r="142" spans="1:6" ht="12.75">
      <c r="A142" s="73" t="s">
        <v>464</v>
      </c>
      <c r="B142" s="329" t="s">
        <v>465</v>
      </c>
      <c r="C142" s="329" t="s">
        <v>459</v>
      </c>
      <c r="D142" s="329" t="s">
        <v>460</v>
      </c>
      <c r="E142" s="329" t="s">
        <v>466</v>
      </c>
      <c r="F142" s="329" t="s">
        <v>467</v>
      </c>
    </row>
    <row r="143" spans="2:6" ht="12.75">
      <c r="B143" s="329">
        <v>50000</v>
      </c>
      <c r="C143" s="330">
        <f>J130*B143</f>
        <v>1546678.2319960445</v>
      </c>
      <c r="D143" s="330">
        <f>$J$129</f>
        <v>3431358.491183758</v>
      </c>
      <c r="E143" s="330">
        <f>$B$86*B143</f>
        <v>2000000</v>
      </c>
      <c r="F143" s="330">
        <f>C143+D143</f>
        <v>4978036.723179802</v>
      </c>
    </row>
    <row r="144" spans="2:6" ht="12.75">
      <c r="B144" s="329">
        <v>100000</v>
      </c>
      <c r="C144" s="330">
        <f>$J$130*B144</f>
        <v>3093356.463992089</v>
      </c>
      <c r="D144" s="330">
        <f aca="true" t="shared" si="5" ref="D144:D152">$J$129</f>
        <v>3431358.491183758</v>
      </c>
      <c r="E144" s="330">
        <f aca="true" t="shared" si="6" ref="E144:E152">$B$86*B144</f>
        <v>4000000</v>
      </c>
      <c r="F144" s="330">
        <f aca="true" t="shared" si="7" ref="F144:F152">C144+D144</f>
        <v>6524714.955175847</v>
      </c>
    </row>
    <row r="145" spans="2:6" ht="12.75">
      <c r="B145" s="329">
        <v>150000</v>
      </c>
      <c r="C145" s="330">
        <f aca="true" t="shared" si="8" ref="C145:C152">$J$130*B145</f>
        <v>4640034.695988134</v>
      </c>
      <c r="D145" s="330">
        <f t="shared" si="5"/>
        <v>3431358.491183758</v>
      </c>
      <c r="E145" s="330">
        <f t="shared" si="6"/>
        <v>6000000</v>
      </c>
      <c r="F145" s="330">
        <f t="shared" si="7"/>
        <v>8071393.187171891</v>
      </c>
    </row>
    <row r="146" spans="2:6" ht="12.75">
      <c r="B146" s="329">
        <v>200000</v>
      </c>
      <c r="C146" s="330">
        <f t="shared" si="8"/>
        <v>6186712.927984178</v>
      </c>
      <c r="D146" s="330">
        <f t="shared" si="5"/>
        <v>3431358.491183758</v>
      </c>
      <c r="E146" s="330">
        <f t="shared" si="6"/>
        <v>8000000</v>
      </c>
      <c r="F146" s="330">
        <f t="shared" si="7"/>
        <v>9618071.419167936</v>
      </c>
    </row>
    <row r="147" spans="2:6" ht="12.75">
      <c r="B147" s="329">
        <v>250000</v>
      </c>
      <c r="C147" s="330">
        <f t="shared" si="8"/>
        <v>7733391.159980222</v>
      </c>
      <c r="D147" s="330">
        <f t="shared" si="5"/>
        <v>3431358.491183758</v>
      </c>
      <c r="E147" s="330">
        <f t="shared" si="6"/>
        <v>10000000</v>
      </c>
      <c r="F147" s="330">
        <f t="shared" si="7"/>
        <v>11164749.65116398</v>
      </c>
    </row>
    <row r="148" spans="2:6" ht="12.75">
      <c r="B148" s="329">
        <v>300000</v>
      </c>
      <c r="C148" s="330">
        <f t="shared" si="8"/>
        <v>9280069.391976267</v>
      </c>
      <c r="D148" s="330">
        <f t="shared" si="5"/>
        <v>3431358.491183758</v>
      </c>
      <c r="E148" s="330">
        <f t="shared" si="6"/>
        <v>12000000</v>
      </c>
      <c r="F148" s="330">
        <f t="shared" si="7"/>
        <v>12711427.883160025</v>
      </c>
    </row>
    <row r="149" spans="2:6" ht="12.75">
      <c r="B149" s="329">
        <v>350000</v>
      </c>
      <c r="C149" s="330">
        <f t="shared" si="8"/>
        <v>10826747.623972312</v>
      </c>
      <c r="D149" s="330">
        <f t="shared" si="5"/>
        <v>3431358.491183758</v>
      </c>
      <c r="E149" s="330">
        <f t="shared" si="6"/>
        <v>14000000</v>
      </c>
      <c r="F149" s="330">
        <f t="shared" si="7"/>
        <v>14258106.11515607</v>
      </c>
    </row>
    <row r="150" spans="2:6" ht="12.75">
      <c r="B150" s="329">
        <v>400000</v>
      </c>
      <c r="C150" s="330">
        <f t="shared" si="8"/>
        <v>12373425.855968356</v>
      </c>
      <c r="D150" s="330">
        <f t="shared" si="5"/>
        <v>3431358.491183758</v>
      </c>
      <c r="E150" s="330">
        <f t="shared" si="6"/>
        <v>16000000</v>
      </c>
      <c r="F150" s="330">
        <f t="shared" si="7"/>
        <v>15804784.347152114</v>
      </c>
    </row>
    <row r="151" spans="2:6" ht="12.75">
      <c r="B151" s="329">
        <v>450000</v>
      </c>
      <c r="C151" s="330">
        <f t="shared" si="8"/>
        <v>13920104.0879644</v>
      </c>
      <c r="D151" s="330">
        <f t="shared" si="5"/>
        <v>3431358.491183758</v>
      </c>
      <c r="E151" s="330">
        <f t="shared" si="6"/>
        <v>18000000</v>
      </c>
      <c r="F151" s="330">
        <f t="shared" si="7"/>
        <v>17351462.57914816</v>
      </c>
    </row>
    <row r="152" spans="2:6" ht="12.75">
      <c r="B152" s="329">
        <v>500000</v>
      </c>
      <c r="C152" s="330">
        <f t="shared" si="8"/>
        <v>15466782.319960443</v>
      </c>
      <c r="D152" s="330">
        <f t="shared" si="5"/>
        <v>3431358.491183758</v>
      </c>
      <c r="E152" s="330">
        <f t="shared" si="6"/>
        <v>20000000</v>
      </c>
      <c r="F152" s="330">
        <f t="shared" si="7"/>
        <v>18898140.811144203</v>
      </c>
    </row>
    <row r="159" spans="2:6" ht="12.75">
      <c r="B159" s="329" t="s">
        <v>465</v>
      </c>
      <c r="C159" s="329" t="s">
        <v>459</v>
      </c>
      <c r="D159" s="329" t="s">
        <v>460</v>
      </c>
      <c r="E159" s="329" t="s">
        <v>466</v>
      </c>
      <c r="F159" s="329" t="s">
        <v>467</v>
      </c>
    </row>
    <row r="160" spans="2:6" ht="12.75">
      <c r="B160" s="329">
        <v>50000</v>
      </c>
      <c r="C160" s="330">
        <f>$J$136*B160</f>
        <v>1491966.4235565555</v>
      </c>
      <c r="D160" s="330">
        <f>$J$135</f>
        <v>3597791.514882588</v>
      </c>
      <c r="E160" s="330">
        <f>$C$86*B160</f>
        <v>2500000</v>
      </c>
      <c r="F160" s="330">
        <f>C160+D160</f>
        <v>5089757.938439144</v>
      </c>
    </row>
    <row r="161" spans="2:6" ht="12.75">
      <c r="B161" s="329">
        <v>100000</v>
      </c>
      <c r="C161" s="330">
        <f aca="true" t="shared" si="9" ref="C161:C175">$J$136*B161</f>
        <v>2983932.847113111</v>
      </c>
      <c r="D161" s="330">
        <f aca="true" t="shared" si="10" ref="D161:D175">$J$135</f>
        <v>3597791.514882588</v>
      </c>
      <c r="E161" s="330">
        <f aca="true" t="shared" si="11" ref="E161:E175">$C$86*B161</f>
        <v>5000000</v>
      </c>
      <c r="F161" s="330">
        <f aca="true" t="shared" si="12" ref="F161:F175">C161+D161</f>
        <v>6581724.361995699</v>
      </c>
    </row>
    <row r="162" spans="2:6" ht="12.75">
      <c r="B162" s="329">
        <v>150000</v>
      </c>
      <c r="C162" s="330">
        <f t="shared" si="9"/>
        <v>4475899.270669667</v>
      </c>
      <c r="D162" s="330">
        <f t="shared" si="10"/>
        <v>3597791.514882588</v>
      </c>
      <c r="E162" s="330">
        <f t="shared" si="11"/>
        <v>7500000</v>
      </c>
      <c r="F162" s="330">
        <f t="shared" si="12"/>
        <v>8073690.785552255</v>
      </c>
    </row>
    <row r="163" spans="2:6" ht="12.75">
      <c r="B163" s="329">
        <v>200000</v>
      </c>
      <c r="C163" s="330">
        <f t="shared" si="9"/>
        <v>5967865.694226222</v>
      </c>
      <c r="D163" s="330">
        <f t="shared" si="10"/>
        <v>3597791.514882588</v>
      </c>
      <c r="E163" s="330">
        <f t="shared" si="11"/>
        <v>10000000</v>
      </c>
      <c r="F163" s="330">
        <f t="shared" si="12"/>
        <v>9565657.20910881</v>
      </c>
    </row>
    <row r="164" spans="2:6" ht="12.75">
      <c r="B164" s="329">
        <v>250000</v>
      </c>
      <c r="C164" s="330">
        <f t="shared" si="9"/>
        <v>7459832.117782778</v>
      </c>
      <c r="D164" s="330">
        <f t="shared" si="10"/>
        <v>3597791.514882588</v>
      </c>
      <c r="E164" s="330">
        <f t="shared" si="11"/>
        <v>12500000</v>
      </c>
      <c r="F164" s="330">
        <f t="shared" si="12"/>
        <v>11057623.632665366</v>
      </c>
    </row>
    <row r="165" spans="2:6" ht="12.75">
      <c r="B165" s="329">
        <v>300000</v>
      </c>
      <c r="C165" s="330">
        <f t="shared" si="9"/>
        <v>8951798.541339334</v>
      </c>
      <c r="D165" s="330">
        <f t="shared" si="10"/>
        <v>3597791.514882588</v>
      </c>
      <c r="E165" s="330">
        <f t="shared" si="11"/>
        <v>15000000</v>
      </c>
      <c r="F165" s="330">
        <f t="shared" si="12"/>
        <v>12549590.056221921</v>
      </c>
    </row>
    <row r="166" spans="2:6" ht="12.75">
      <c r="B166" s="329">
        <v>350000</v>
      </c>
      <c r="C166" s="330">
        <f t="shared" si="9"/>
        <v>10443764.96489589</v>
      </c>
      <c r="D166" s="330">
        <f t="shared" si="10"/>
        <v>3597791.514882588</v>
      </c>
      <c r="E166" s="330">
        <f t="shared" si="11"/>
        <v>17500000</v>
      </c>
      <c r="F166" s="330">
        <f t="shared" si="12"/>
        <v>14041556.479778476</v>
      </c>
    </row>
    <row r="167" spans="2:6" ht="12.75">
      <c r="B167" s="329">
        <v>400000</v>
      </c>
      <c r="C167" s="330">
        <f t="shared" si="9"/>
        <v>11935731.388452444</v>
      </c>
      <c r="D167" s="330">
        <f t="shared" si="10"/>
        <v>3597791.514882588</v>
      </c>
      <c r="E167" s="330">
        <f t="shared" si="11"/>
        <v>20000000</v>
      </c>
      <c r="F167" s="330">
        <f t="shared" si="12"/>
        <v>15533522.903335031</v>
      </c>
    </row>
    <row r="168" spans="2:6" ht="12.75">
      <c r="B168" s="329">
        <v>450000</v>
      </c>
      <c r="C168" s="330">
        <f t="shared" si="9"/>
        <v>13427697.812009</v>
      </c>
      <c r="D168" s="330">
        <f t="shared" si="10"/>
        <v>3597791.514882588</v>
      </c>
      <c r="E168" s="330">
        <f t="shared" si="11"/>
        <v>22500000</v>
      </c>
      <c r="F168" s="330">
        <f t="shared" si="12"/>
        <v>17025489.326891586</v>
      </c>
    </row>
    <row r="169" spans="2:6" ht="12.75">
      <c r="B169" s="329">
        <v>500000</v>
      </c>
      <c r="C169" s="330">
        <f t="shared" si="9"/>
        <v>14919664.235565556</v>
      </c>
      <c r="D169" s="330">
        <f t="shared" si="10"/>
        <v>3597791.514882588</v>
      </c>
      <c r="E169" s="330">
        <f t="shared" si="11"/>
        <v>25000000</v>
      </c>
      <c r="F169" s="330">
        <f t="shared" si="12"/>
        <v>18517455.750448145</v>
      </c>
    </row>
    <row r="170" spans="2:6" ht="12.75">
      <c r="B170" s="329">
        <v>550000</v>
      </c>
      <c r="C170" s="330">
        <f t="shared" si="9"/>
        <v>16411630.659122111</v>
      </c>
      <c r="D170" s="330">
        <f t="shared" si="10"/>
        <v>3597791.514882588</v>
      </c>
      <c r="E170" s="330">
        <f t="shared" si="11"/>
        <v>27500000</v>
      </c>
      <c r="F170" s="330">
        <f t="shared" si="12"/>
        <v>20009422.1740047</v>
      </c>
    </row>
    <row r="171" spans="2:6" ht="12.75">
      <c r="B171" s="329">
        <v>600000</v>
      </c>
      <c r="C171" s="330">
        <f t="shared" si="9"/>
        <v>17903597.08267867</v>
      </c>
      <c r="D171" s="330">
        <f t="shared" si="10"/>
        <v>3597791.514882588</v>
      </c>
      <c r="E171" s="330">
        <f t="shared" si="11"/>
        <v>30000000</v>
      </c>
      <c r="F171" s="330">
        <f t="shared" si="12"/>
        <v>21501388.597561255</v>
      </c>
    </row>
    <row r="172" spans="2:6" ht="12.75">
      <c r="B172" s="329">
        <v>650000</v>
      </c>
      <c r="C172" s="330">
        <f t="shared" si="9"/>
        <v>19395563.506235223</v>
      </c>
      <c r="D172" s="330">
        <f t="shared" si="10"/>
        <v>3597791.514882588</v>
      </c>
      <c r="E172" s="330">
        <f t="shared" si="11"/>
        <v>32500000</v>
      </c>
      <c r="F172" s="330">
        <f t="shared" si="12"/>
        <v>22993355.02111781</v>
      </c>
    </row>
    <row r="173" spans="2:6" ht="12.75">
      <c r="B173" s="329">
        <v>700000</v>
      </c>
      <c r="C173" s="330">
        <f t="shared" si="9"/>
        <v>20887529.92979178</v>
      </c>
      <c r="D173" s="330">
        <f t="shared" si="10"/>
        <v>3597791.514882588</v>
      </c>
      <c r="E173" s="330">
        <f>$C$86*B173</f>
        <v>35000000</v>
      </c>
      <c r="F173" s="330">
        <f t="shared" si="12"/>
        <v>24485321.444674365</v>
      </c>
    </row>
    <row r="174" spans="2:6" ht="12.75">
      <c r="B174" s="329">
        <v>750000</v>
      </c>
      <c r="C174" s="330">
        <f t="shared" si="9"/>
        <v>22379496.353348333</v>
      </c>
      <c r="D174" s="330">
        <f t="shared" si="10"/>
        <v>3597791.514882588</v>
      </c>
      <c r="E174" s="330">
        <f t="shared" si="11"/>
        <v>37500000</v>
      </c>
      <c r="F174" s="330">
        <f t="shared" si="12"/>
        <v>25977287.86823092</v>
      </c>
    </row>
    <row r="175" spans="2:6" ht="12.75">
      <c r="B175" s="329">
        <v>800000</v>
      </c>
      <c r="C175" s="330">
        <f t="shared" si="9"/>
        <v>23871462.77690489</v>
      </c>
      <c r="D175" s="330">
        <f t="shared" si="10"/>
        <v>3597791.514882588</v>
      </c>
      <c r="E175" s="330">
        <f t="shared" si="11"/>
        <v>40000000</v>
      </c>
      <c r="F175" s="330">
        <f t="shared" si="12"/>
        <v>27469254.291787475</v>
      </c>
    </row>
  </sheetData>
  <sheetProtection selectLockedCells="1" selectUnlockedCells="1"/>
  <mergeCells count="1">
    <mergeCell ref="I33:L33"/>
  </mergeCells>
  <printOptions/>
  <pageMargins left="0.32013888888888886" right="0.75" top="0.1798611111111111" bottom="0.1597222222222222" header="0.5118055555555555" footer="0.5118055555555555"/>
  <pageSetup fitToHeight="4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45.57421875" style="14" customWidth="1"/>
    <col min="2" max="7" width="14.8515625" style="14" customWidth="1"/>
    <col min="8" max="8" width="17.421875" style="14" customWidth="1"/>
    <col min="9" max="16384" width="11.421875" style="14" customWidth="1"/>
  </cols>
  <sheetData>
    <row r="1" spans="1:5" ht="12.75">
      <c r="A1" s="1" t="s">
        <v>0</v>
      </c>
      <c r="B1"/>
      <c r="C1"/>
      <c r="D1"/>
      <c r="E1" s="2" t="str">
        <f>InfoInicial!E1</f>
        <v>FIDEOS</v>
      </c>
    </row>
    <row r="2" spans="1:5" ht="12.75">
      <c r="A2" s="1"/>
      <c r="B2"/>
      <c r="C2"/>
      <c r="D2"/>
      <c r="E2" s="103"/>
    </row>
    <row r="3" spans="1:7" ht="15.75">
      <c r="A3" s="53" t="s">
        <v>160</v>
      </c>
      <c r="B3" s="54"/>
      <c r="C3" s="54"/>
      <c r="D3" s="54"/>
      <c r="E3" s="54"/>
      <c r="F3" s="54"/>
      <c r="G3" s="55"/>
    </row>
    <row r="4" spans="1:7" ht="12.75">
      <c r="A4" s="56" t="s">
        <v>87</v>
      </c>
      <c r="B4" s="19" t="s">
        <v>46</v>
      </c>
      <c r="C4" s="19" t="s">
        <v>47</v>
      </c>
      <c r="D4" s="19" t="s">
        <v>88</v>
      </c>
      <c r="E4" s="19" t="s">
        <v>89</v>
      </c>
      <c r="F4" s="19" t="s">
        <v>90</v>
      </c>
      <c r="G4" s="20" t="s">
        <v>91</v>
      </c>
    </row>
    <row r="5" spans="1:7" ht="12.75">
      <c r="A5" s="104" t="s">
        <v>161</v>
      </c>
      <c r="B5" s="105"/>
      <c r="C5" s="105"/>
      <c r="D5" s="105"/>
      <c r="E5" s="105"/>
      <c r="F5" s="105"/>
      <c r="G5" s="106"/>
    </row>
    <row r="6" spans="1:7" ht="12.75">
      <c r="A6" s="104" t="s">
        <v>162</v>
      </c>
      <c r="B6" s="257">
        <f>0.8*C6</f>
        <v>320000</v>
      </c>
      <c r="C6" s="257">
        <f>0.02*'E-Costos'!B87</f>
        <v>400000</v>
      </c>
      <c r="D6" s="257">
        <f>0.02*'E-Costos'!C87</f>
        <v>800000</v>
      </c>
      <c r="E6" s="257">
        <f>0.02*'E-Costos'!D87</f>
        <v>800000</v>
      </c>
      <c r="F6" s="257">
        <f>0.02*'E-Costos'!E87</f>
        <v>800000</v>
      </c>
      <c r="G6" s="257">
        <f>0.02*'E-Costos'!F87</f>
        <v>800000</v>
      </c>
    </row>
    <row r="7" spans="1:14" ht="13.5" thickBot="1">
      <c r="A7" s="104" t="s">
        <v>163</v>
      </c>
      <c r="B7" s="257">
        <v>0</v>
      </c>
      <c r="C7" s="257">
        <f>'E-Costos'!B85*(InfoInicial!B39/365)</f>
        <v>82191.7808219178</v>
      </c>
      <c r="D7" s="257">
        <f>'E-Costos'!C85*(InfoInicial!B39/365)</f>
        <v>131506.84931506848</v>
      </c>
      <c r="E7" s="257">
        <f>'E-Costos'!D85*(InfoInicial!B39/365)</f>
        <v>131506.84931506848</v>
      </c>
      <c r="F7" s="257">
        <f>'E-Costos'!E85*(InfoInicial!B39/365)</f>
        <v>131506.84931506848</v>
      </c>
      <c r="G7" s="257">
        <f>'E-Costos'!F85*(InfoInicial!B39/365)</f>
        <v>131506.84931506848</v>
      </c>
      <c r="I7" s="296"/>
      <c r="J7" s="296"/>
      <c r="K7" s="296"/>
      <c r="L7" s="296"/>
      <c r="M7" s="296" t="e">
        <f>SUM(#REF!)</f>
        <v>#REF!</v>
      </c>
      <c r="N7" s="303"/>
    </row>
    <row r="8" spans="1:7" ht="13.5" thickTop="1">
      <c r="A8" s="107"/>
      <c r="B8" s="84"/>
      <c r="C8" s="84"/>
      <c r="D8" s="84"/>
      <c r="E8" s="84"/>
      <c r="F8" s="84"/>
      <c r="G8" s="85"/>
    </row>
    <row r="9" spans="1:7" ht="12.75">
      <c r="A9" s="104" t="s">
        <v>164</v>
      </c>
      <c r="B9" s="84"/>
      <c r="C9" s="84"/>
      <c r="D9" s="84"/>
      <c r="E9" s="84"/>
      <c r="F9" s="84"/>
      <c r="G9" s="85"/>
    </row>
    <row r="10" spans="1:7" ht="12.75">
      <c r="A10" s="334" t="s">
        <v>165</v>
      </c>
      <c r="B10" s="335"/>
      <c r="C10" s="335">
        <f>InfoInicial!A55</f>
        <v>0.27625</v>
      </c>
      <c r="D10" s="335">
        <f>InfoInicial!B55</f>
        <v>0.27607361963190186</v>
      </c>
      <c r="E10" s="335">
        <f>InfoInicial!C55</f>
        <v>0.275609756097561</v>
      </c>
      <c r="F10" s="335">
        <f>InfoInicial!D55</f>
        <v>0.2754491017964072</v>
      </c>
      <c r="G10" s="336">
        <f>InfoInicial!E55</f>
        <v>0.2823529411764706</v>
      </c>
    </row>
    <row r="11" spans="1:7" ht="12.75">
      <c r="A11" s="334" t="s">
        <v>166</v>
      </c>
      <c r="B11" s="335"/>
      <c r="C11" s="335"/>
      <c r="D11" s="335"/>
      <c r="E11" s="335"/>
      <c r="F11" s="335"/>
      <c r="G11" s="336"/>
    </row>
    <row r="12" spans="1:7" ht="13.5" thickBot="1">
      <c r="A12" s="107" t="s">
        <v>167</v>
      </c>
      <c r="B12" s="337">
        <v>0</v>
      </c>
      <c r="C12" s="337">
        <f>'E-Costos'!B35</f>
        <v>174597.9382354432</v>
      </c>
      <c r="D12" s="337">
        <f>'E-Costos'!C35</f>
        <v>175044.29154747707</v>
      </c>
      <c r="E12" s="337">
        <f>'E-Costos'!D35</f>
        <v>175044.29154747707</v>
      </c>
      <c r="F12" s="337">
        <f>'E-Costos'!E35</f>
        <v>175044.29154747707</v>
      </c>
      <c r="G12" s="337">
        <f>'E-Costos'!F35</f>
        <v>175044.29154747707</v>
      </c>
    </row>
    <row r="13" spans="1:7" ht="13.5" thickTop="1">
      <c r="A13" s="107" t="s">
        <v>168</v>
      </c>
      <c r="C13" s="61">
        <f>'E-Costos'!B104*'E-Costos'!B101</f>
        <v>261207.05884188652</v>
      </c>
      <c r="D13" s="61">
        <f>'E-Costos'!C104*'E-Costos'!C101</f>
        <v>0</v>
      </c>
      <c r="E13" s="61">
        <f>'E-Costos'!D104*'E-Costos'!D101</f>
        <v>0</v>
      </c>
      <c r="F13" s="61">
        <f>'E-Costos'!E104*'E-Costos'!E101</f>
        <v>0</v>
      </c>
      <c r="G13" s="61">
        <f>'E-Costos'!F104*'E-Costos'!F101</f>
        <v>0</v>
      </c>
    </row>
    <row r="14" spans="1:7" ht="12.75">
      <c r="A14" s="341"/>
      <c r="B14" s="342"/>
      <c r="C14" s="342"/>
      <c r="D14" s="342"/>
      <c r="E14" s="342"/>
      <c r="F14" s="342"/>
      <c r="G14" s="343"/>
    </row>
    <row r="15" spans="1:7" ht="12.75">
      <c r="A15" s="340" t="s">
        <v>169</v>
      </c>
      <c r="B15" s="335">
        <f>SUM(B6:B13)</f>
        <v>320000</v>
      </c>
      <c r="C15" s="335">
        <f>SUM(C6:C13)</f>
        <v>917997.0541492475</v>
      </c>
      <c r="D15" s="335">
        <f>SUM(D6:D13)</f>
        <v>1106551.4169361652</v>
      </c>
      <c r="E15" s="335">
        <f>SUM(E6:E13)</f>
        <v>1106551.4164723016</v>
      </c>
      <c r="F15" s="335">
        <f>SUM(F6:F13)</f>
        <v>1106551.4163116473</v>
      </c>
      <c r="G15" s="336">
        <f>SUM(G6:G13)</f>
        <v>1106551.4232154868</v>
      </c>
    </row>
    <row r="16" spans="1:7" ht="12.75">
      <c r="A16" s="340" t="s">
        <v>170</v>
      </c>
      <c r="B16" s="338"/>
      <c r="C16" s="338"/>
      <c r="D16" s="338"/>
      <c r="E16" s="338"/>
      <c r="F16" s="338"/>
      <c r="G16" s="339"/>
    </row>
    <row r="17" spans="1:7" ht="12.75">
      <c r="A17" s="107" t="s">
        <v>171</v>
      </c>
      <c r="B17" s="257"/>
      <c r="C17" s="257">
        <f>'E-Costos'!B28</f>
        <v>1271.731697982309</v>
      </c>
      <c r="D17" s="257">
        <f>'E-Costos'!C28</f>
        <v>1271.731697982309</v>
      </c>
      <c r="E17" s="257">
        <f>'E-Costos'!D28</f>
        <v>1271.731697982309</v>
      </c>
      <c r="F17" s="257">
        <f>'E-Costos'!E28</f>
        <v>1271.731697982309</v>
      </c>
      <c r="G17" s="258">
        <f>'E-Costos'!F28</f>
        <v>1271.731697982309</v>
      </c>
    </row>
    <row r="18" spans="1:8" ht="12.75">
      <c r="A18" s="107" t="s">
        <v>172</v>
      </c>
      <c r="B18" s="344">
        <f>(879886-B12)*8000/500000</f>
        <v>14078.176</v>
      </c>
      <c r="C18" s="344">
        <f>(879886-C12)*8000/800000</f>
        <v>7052.880617645567</v>
      </c>
      <c r="D18" s="344">
        <f>(879886-D12)*8000/800000</f>
        <v>7048.41708452523</v>
      </c>
      <c r="E18" s="344">
        <f>(879886-E12)*8000/800000</f>
        <v>7048.41708452523</v>
      </c>
      <c r="F18" s="344">
        <f>(879886-F12)*8000/800000</f>
        <v>7048.41708452523</v>
      </c>
      <c r="G18" s="344">
        <f>(879886-G12)*8000/800000</f>
        <v>7048.41708452523</v>
      </c>
      <c r="H18" s="14" t="s">
        <v>468</v>
      </c>
    </row>
    <row r="19" spans="1:7" ht="12.75">
      <c r="A19" s="341" t="s">
        <v>173</v>
      </c>
      <c r="B19" s="262">
        <v>0</v>
      </c>
      <c r="C19" s="262">
        <f>C7*'E-Costos'!B120</f>
        <v>4692.050962303</v>
      </c>
      <c r="D19" s="262">
        <f>D7*'E-Costos'!C120</f>
        <v>25795.40037705857</v>
      </c>
      <c r="E19" s="262">
        <f>E7*'E-Costos'!D120</f>
        <v>25794.49421869085</v>
      </c>
      <c r="F19" s="262">
        <f>F7*'E-Costos'!E120</f>
        <v>25794.49421869085</v>
      </c>
      <c r="G19" s="262">
        <f>G7*'E-Costos'!F120</f>
        <v>25794.49421869085</v>
      </c>
    </row>
    <row r="20" spans="1:8" ht="12.75">
      <c r="A20" s="341" t="s">
        <v>174</v>
      </c>
      <c r="B20" s="262"/>
      <c r="C20" s="345">
        <f>('E-Inv AF y Am'!D56-C17-C18)*60/365</f>
        <v>160653.0732631845</v>
      </c>
      <c r="D20" s="345">
        <f>('E-Inv AF y Am'!D56-'E-InvAT'!D17-'E-InvAT'!D18)*60/365</f>
        <v>160653.80699465633</v>
      </c>
      <c r="E20" s="345">
        <f>('E-Inv AF y Am'!E56-'E-InvAT'!E17-'E-InvAT'!E18)*60/365</f>
        <v>159342.02617273852</v>
      </c>
      <c r="F20" s="345">
        <f>('E-Inv AF y Am'!E56-'E-InvAT'!F17-'E-InvAT'!F18)*60/365</f>
        <v>159342.02617273852</v>
      </c>
      <c r="G20" s="345">
        <f>('E-Inv AF y Am'!E56-'E-InvAT'!G17-'E-InvAT'!G18)*60/365</f>
        <v>159342.02617273852</v>
      </c>
      <c r="H20" s="14" t="s">
        <v>469</v>
      </c>
    </row>
    <row r="21" spans="1:7" ht="12.75">
      <c r="A21" s="107"/>
      <c r="B21" s="84"/>
      <c r="C21" s="84"/>
      <c r="D21" s="84" t="s">
        <v>470</v>
      </c>
      <c r="E21" s="84"/>
      <c r="F21" s="84"/>
      <c r="G21" s="85"/>
    </row>
    <row r="22" spans="1:7" ht="12.75">
      <c r="A22" s="104" t="s">
        <v>175</v>
      </c>
      <c r="B22" s="61">
        <f>B15-B17-B18-B19-B20</f>
        <v>305921.824</v>
      </c>
      <c r="C22" s="61">
        <f>C15-C17-C18-C19-C20</f>
        <v>744327.3176081321</v>
      </c>
      <c r="D22" s="61">
        <f>D15-D17-D18-D19-D20</f>
        <v>911782.0607819424</v>
      </c>
      <c r="E22" s="61">
        <f>E15-E17-E18-E19-E20</f>
        <v>913094.7472983645</v>
      </c>
      <c r="F22" s="61">
        <f>F15-F17-F18-F19-F20</f>
        <v>913094.7471377102</v>
      </c>
      <c r="G22" s="62">
        <f>G15-G17-G18-G19-G20</f>
        <v>913094.7540415497</v>
      </c>
    </row>
    <row r="23" spans="1:7" ht="12.75">
      <c r="A23" s="107"/>
      <c r="B23" s="84"/>
      <c r="C23" s="84"/>
      <c r="D23" s="84"/>
      <c r="E23" s="84"/>
      <c r="F23" s="84"/>
      <c r="G23" s="85"/>
    </row>
    <row r="24" spans="1:8" ht="12.75">
      <c r="A24" s="346" t="s">
        <v>176</v>
      </c>
      <c r="B24" s="332">
        <f>B15</f>
        <v>320000</v>
      </c>
      <c r="C24" s="332">
        <f>C15-B15</f>
        <v>597997.0541492475</v>
      </c>
      <c r="D24" s="332">
        <f>D15-C15</f>
        <v>188554.3627869177</v>
      </c>
      <c r="E24" s="332">
        <f>E15-D15</f>
        <v>-0.00046386360190808773</v>
      </c>
      <c r="F24" s="332">
        <f>F15-E15</f>
        <v>-0.0001606543082743883</v>
      </c>
      <c r="G24" s="333">
        <f>G15-F15</f>
        <v>0.006903839530423284</v>
      </c>
      <c r="H24" s="14" t="s">
        <v>474</v>
      </c>
    </row>
    <row r="25" spans="1:8" ht="12.75">
      <c r="A25" s="346" t="s">
        <v>177</v>
      </c>
      <c r="B25" s="332">
        <f>B22</f>
        <v>305921.824</v>
      </c>
      <c r="C25" s="332">
        <f>C22-B22</f>
        <v>438405.4936081321</v>
      </c>
      <c r="D25" s="332">
        <f>D22-C22</f>
        <v>167454.7431738103</v>
      </c>
      <c r="E25" s="332">
        <f>E22-D22</f>
        <v>1312.6865164220799</v>
      </c>
      <c r="F25" s="332">
        <f>F22-E22</f>
        <v>-0.0001606543082743883</v>
      </c>
      <c r="G25" s="333">
        <f>G22-F22</f>
        <v>0.006903839530423284</v>
      </c>
      <c r="H25" s="14" t="s">
        <v>475</v>
      </c>
    </row>
    <row r="26" spans="1:7" ht="12.75">
      <c r="A26" s="107"/>
      <c r="B26" s="84"/>
      <c r="C26" s="84"/>
      <c r="D26" s="84"/>
      <c r="E26" s="84"/>
      <c r="F26" s="84"/>
      <c r="G26" s="85"/>
    </row>
    <row r="27" spans="1:7" ht="12.75">
      <c r="A27" s="104" t="s">
        <v>178</v>
      </c>
      <c r="B27" s="84"/>
      <c r="C27" s="84"/>
      <c r="D27" s="84"/>
      <c r="E27" s="84"/>
      <c r="F27" s="84"/>
      <c r="G27" s="85"/>
    </row>
    <row r="28" spans="1:7" ht="12.75">
      <c r="A28" s="334" t="s">
        <v>179</v>
      </c>
      <c r="B28" s="335"/>
      <c r="C28" s="335"/>
      <c r="D28" s="335"/>
      <c r="E28" s="335"/>
      <c r="F28" s="335"/>
      <c r="G28" s="336"/>
    </row>
    <row r="29" spans="1:7" ht="12.75">
      <c r="A29" s="107" t="s">
        <v>180</v>
      </c>
      <c r="B29" s="61"/>
      <c r="C29" s="61"/>
      <c r="D29" s="61"/>
      <c r="E29" s="61"/>
      <c r="F29" s="61"/>
      <c r="G29" s="62"/>
    </row>
    <row r="30" spans="1:8" ht="12.75">
      <c r="A30" s="331" t="s">
        <v>181</v>
      </c>
      <c r="B30" s="370">
        <f>B10*InfoInicial!B3</f>
        <v>0</v>
      </c>
      <c r="C30" s="332">
        <f>C10*InfoInicial!B3</f>
        <v>0.058012499999999995</v>
      </c>
      <c r="D30" s="332">
        <f>D10*InfoInicial!B3</f>
        <v>0.057975460122699385</v>
      </c>
      <c r="E30" s="332">
        <f>E10*InfoInicial!B3</f>
        <v>0.05787804878048781</v>
      </c>
      <c r="F30" s="332">
        <f>F10*InfoInicial!B3</f>
        <v>0.05784431137724551</v>
      </c>
      <c r="G30" s="332">
        <f>G10*InfoInicial!B3</f>
        <v>0.059294117647058824</v>
      </c>
      <c r="H30" s="14" t="s">
        <v>472</v>
      </c>
    </row>
    <row r="31" spans="1:8" ht="12.75">
      <c r="A31" s="331" t="s">
        <v>182</v>
      </c>
      <c r="B31" s="332">
        <v>0</v>
      </c>
      <c r="C31" s="332">
        <v>0</v>
      </c>
      <c r="D31" s="332">
        <v>0</v>
      </c>
      <c r="E31" s="332">
        <v>0</v>
      </c>
      <c r="F31" s="332">
        <v>0</v>
      </c>
      <c r="G31" s="333">
        <v>0</v>
      </c>
      <c r="H31" s="14" t="s">
        <v>473</v>
      </c>
    </row>
    <row r="32" spans="1:7" ht="12.75">
      <c r="A32" s="107" t="s">
        <v>183</v>
      </c>
      <c r="B32" s="61">
        <f>SUM('E-Costos'!B7:B14)*0.21</f>
        <v>3447456.1494869995</v>
      </c>
      <c r="C32" s="61">
        <f>SUM('E-Costos'!C7:C14)*0.21</f>
        <v>5047577.037552</v>
      </c>
      <c r="D32" s="61">
        <f>SUM('E-Costos'!D7:D14)*0.21</f>
        <v>5047577.037552</v>
      </c>
      <c r="E32" s="61">
        <f>SUM('E-Costos'!E7:E14)*0.21</f>
        <v>5047577.037552</v>
      </c>
      <c r="F32" s="61">
        <f>SUM('E-Costos'!F7:F14)*0.21</f>
        <v>5047577.037552</v>
      </c>
      <c r="G32" s="61">
        <f>SUM('E-Costos'!G7:G14)*0.21</f>
        <v>0</v>
      </c>
    </row>
    <row r="33" spans="1:7" ht="12.75">
      <c r="A33" s="107" t="s">
        <v>184</v>
      </c>
      <c r="B33" s="61">
        <f>('E-Costos'!B104*'E-Costos'!B101)*0.21</f>
        <v>54853.482356796165</v>
      </c>
      <c r="C33" s="61">
        <v>0</v>
      </c>
      <c r="D33" s="61">
        <v>0</v>
      </c>
      <c r="E33" s="61">
        <v>0</v>
      </c>
      <c r="F33" s="61">
        <v>0</v>
      </c>
      <c r="G33" s="61">
        <f>('E-Costos'!G104*'E-Costos'!G101)*0.21</f>
        <v>0</v>
      </c>
    </row>
    <row r="34" spans="1:7" ht="12.75">
      <c r="A34" s="104" t="s">
        <v>185</v>
      </c>
      <c r="B34" s="67">
        <f aca="true" t="shared" si="0" ref="B34:G34">SUM(B30:B33)</f>
        <v>3502309.6318437955</v>
      </c>
      <c r="C34" s="67">
        <f t="shared" si="0"/>
        <v>5047577.0955645</v>
      </c>
      <c r="D34" s="67">
        <f t="shared" si="0"/>
        <v>5047577.09552746</v>
      </c>
      <c r="E34" s="67">
        <f t="shared" si="0"/>
        <v>5047577.095430049</v>
      </c>
      <c r="F34" s="67">
        <f t="shared" si="0"/>
        <v>5047577.095396311</v>
      </c>
      <c r="G34" s="67">
        <f t="shared" si="0"/>
        <v>0.059294117647058824</v>
      </c>
    </row>
    <row r="35" spans="1:7" ht="12.75">
      <c r="A35" s="107"/>
      <c r="B35" s="64"/>
      <c r="C35" s="64"/>
      <c r="D35" s="64"/>
      <c r="E35" s="64"/>
      <c r="F35" s="64"/>
      <c r="G35" s="65"/>
    </row>
    <row r="36" spans="1:8" ht="12.75">
      <c r="A36" s="347" t="s">
        <v>186</v>
      </c>
      <c r="B36" s="348">
        <f>B34+B25</f>
        <v>3808231.4558437956</v>
      </c>
      <c r="C36" s="348">
        <f>C34+C25</f>
        <v>5485982.589172632</v>
      </c>
      <c r="D36" s="348">
        <f>D34</f>
        <v>5047577.09552746</v>
      </c>
      <c r="E36" s="348">
        <f>E34+E25</f>
        <v>5048889.781946471</v>
      </c>
      <c r="F36" s="348">
        <f>F34+F25</f>
        <v>5047577.095235657</v>
      </c>
      <c r="G36" s="349">
        <f>G34+G25</f>
        <v>0.06619795717748211</v>
      </c>
      <c r="H36" s="14" t="s">
        <v>471</v>
      </c>
    </row>
  </sheetData>
  <sheetProtection selectLockedCells="1" selectUnlockedCells="1"/>
  <printOptions/>
  <pageMargins left="0.25972222222222224" right="0.4597222222222222" top="0.6" bottom="1" header="0.5118055555555555" footer="0.5118055555555555"/>
  <pageSetup fitToHeight="4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F32" sqref="F32"/>
    </sheetView>
  </sheetViews>
  <sheetFormatPr defaultColWidth="11.421875" defaultRowHeight="12.75"/>
  <cols>
    <col min="1" max="1" width="28.140625" style="14" customWidth="1"/>
    <col min="2" max="2" width="14.00390625" style="14" customWidth="1"/>
    <col min="3" max="3" width="16.28125" style="14" customWidth="1"/>
    <col min="4" max="4" width="17.57421875" style="14" customWidth="1"/>
    <col min="5" max="9" width="14.00390625" style="14" customWidth="1"/>
    <col min="10" max="10" width="17.421875" style="14" customWidth="1"/>
    <col min="11" max="16384" width="11.421875" style="14" customWidth="1"/>
  </cols>
  <sheetData>
    <row r="1" spans="1:7" ht="12.75">
      <c r="A1" s="1" t="s">
        <v>0</v>
      </c>
      <c r="B1"/>
      <c r="C1"/>
      <c r="D1"/>
      <c r="G1" s="2" t="str">
        <f>InfoInicial!E1</f>
        <v>FIDEOS</v>
      </c>
    </row>
    <row r="3" spans="1:9" ht="15.75">
      <c r="A3" s="53" t="s">
        <v>187</v>
      </c>
      <c r="B3" s="54"/>
      <c r="C3" s="54"/>
      <c r="D3" s="54"/>
      <c r="E3" s="54"/>
      <c r="F3" s="54"/>
      <c r="G3" s="54"/>
      <c r="H3" s="54"/>
      <c r="I3" s="55"/>
    </row>
    <row r="4" spans="1:9" ht="25.5">
      <c r="A4" s="56" t="s">
        <v>87</v>
      </c>
      <c r="B4" s="109" t="s">
        <v>188</v>
      </c>
      <c r="C4" s="109" t="s">
        <v>189</v>
      </c>
      <c r="D4" s="19" t="s">
        <v>47</v>
      </c>
      <c r="E4" s="19" t="s">
        <v>88</v>
      </c>
      <c r="F4" s="19" t="s">
        <v>89</v>
      </c>
      <c r="G4" s="19" t="s">
        <v>90</v>
      </c>
      <c r="H4" s="110" t="s">
        <v>91</v>
      </c>
      <c r="I4" s="20" t="s">
        <v>190</v>
      </c>
    </row>
    <row r="5" spans="1:9" ht="12.75">
      <c r="A5" s="104" t="s">
        <v>191</v>
      </c>
      <c r="B5" s="105"/>
      <c r="C5" s="105"/>
      <c r="D5" s="105"/>
      <c r="E5" s="105"/>
      <c r="F5" s="105"/>
      <c r="G5" s="105"/>
      <c r="H5" s="111"/>
      <c r="I5" s="106"/>
    </row>
    <row r="6" spans="1:9" ht="12.75">
      <c r="A6" s="112" t="s">
        <v>192</v>
      </c>
      <c r="B6" s="61"/>
      <c r="C6" s="61">
        <f>'E-Inv AF y Am'!B20</f>
        <v>10338330.4</v>
      </c>
      <c r="D6" s="61"/>
      <c r="E6" s="61"/>
      <c r="F6" s="61"/>
      <c r="G6" s="61"/>
      <c r="H6" s="113"/>
      <c r="I6" s="62"/>
    </row>
    <row r="7" spans="1:9" ht="12.75">
      <c r="A7" s="112" t="s">
        <v>193</v>
      </c>
      <c r="B7" s="61">
        <f>'E-Inv AF y Am'!B23+'E-Inv AF y Am'!B24</f>
        <v>350000</v>
      </c>
      <c r="C7" s="367">
        <f>'E-Inv AF y Am'!B25+'E-Inv AF y Am'!B27+'E-Inv AF y Am'!B28+'E-Inv AF y Am'!B29</f>
        <v>854000</v>
      </c>
      <c r="D7" s="61">
        <f>'E-Inv AF y Am'!C26</f>
        <v>200000</v>
      </c>
      <c r="E7" s="61"/>
      <c r="F7" s="61"/>
      <c r="G7" s="61"/>
      <c r="H7" s="113"/>
      <c r="I7" s="62"/>
    </row>
    <row r="8" spans="1:9" ht="12.75">
      <c r="A8" s="104" t="s">
        <v>194</v>
      </c>
      <c r="B8" s="61">
        <f>B7+B6+B5</f>
        <v>350000</v>
      </c>
      <c r="C8" s="61">
        <f>C6+C7</f>
        <v>11192330.4</v>
      </c>
      <c r="D8" s="61">
        <f>D7</f>
        <v>200000</v>
      </c>
      <c r="E8" s="61"/>
      <c r="F8" s="61"/>
      <c r="G8" s="61"/>
      <c r="H8" s="113"/>
      <c r="I8" s="62"/>
    </row>
    <row r="9" spans="1:9" ht="12.75">
      <c r="A9" s="112"/>
      <c r="B9" s="84"/>
      <c r="C9" s="84"/>
      <c r="D9" s="84"/>
      <c r="E9" s="84"/>
      <c r="F9" s="84"/>
      <c r="G9" s="84"/>
      <c r="H9" s="114"/>
      <c r="I9" s="85"/>
    </row>
    <row r="10" spans="1:9" ht="12.75">
      <c r="A10" s="104" t="s">
        <v>195</v>
      </c>
      <c r="B10" s="61"/>
      <c r="C10" s="61"/>
      <c r="D10" s="61"/>
      <c r="E10" s="61"/>
      <c r="F10" s="61"/>
      <c r="G10" s="61"/>
      <c r="H10" s="113"/>
      <c r="I10" s="62"/>
    </row>
    <row r="11" spans="1:9" ht="12.75">
      <c r="A11" s="112" t="s">
        <v>196</v>
      </c>
      <c r="B11" s="61"/>
      <c r="C11" s="61">
        <f>'E-InvAT'!B6</f>
        <v>320000</v>
      </c>
      <c r="D11" s="61">
        <f>'E-InvAT'!C6-'E-InvAT'!B6</f>
        <v>80000</v>
      </c>
      <c r="E11" s="61">
        <f>'E-InvAT'!D6-'E-InvAT'!C6</f>
        <v>400000</v>
      </c>
      <c r="F11" s="61">
        <f>'E-InvAT'!E6-'E-InvAT'!D6</f>
        <v>0</v>
      </c>
      <c r="G11" s="61">
        <f>'E-InvAT'!F6-'E-InvAT'!E6</f>
        <v>0</v>
      </c>
      <c r="H11" s="113">
        <f>'E-InvAT'!G6-'E-InvAT'!F6</f>
        <v>0</v>
      </c>
      <c r="I11" s="62"/>
    </row>
    <row r="12" spans="1:9" ht="12.75">
      <c r="A12" s="112" t="s">
        <v>197</v>
      </c>
      <c r="B12" s="61"/>
      <c r="C12" s="61">
        <f>'E-InvAT'!B7</f>
        <v>0</v>
      </c>
      <c r="D12" s="61">
        <f>'E-InvAT'!C7-'E-InvAT'!B7</f>
        <v>82191.7808219178</v>
      </c>
      <c r="E12" s="61">
        <f>'E-InvAT'!D7-'E-InvAT'!C7</f>
        <v>49315.068493150684</v>
      </c>
      <c r="F12" s="61">
        <f>'E-InvAT'!E7-'E-InvAT'!D7</f>
        <v>0</v>
      </c>
      <c r="G12" s="61">
        <f>'E-InvAT'!F7-'E-InvAT'!E7</f>
        <v>0</v>
      </c>
      <c r="H12" s="113">
        <f>'E-InvAT'!G7-'E-InvAT'!F7</f>
        <v>0</v>
      </c>
      <c r="I12" s="62"/>
    </row>
    <row r="13" spans="1:9" ht="12.75">
      <c r="A13" s="112" t="s">
        <v>198</v>
      </c>
      <c r="B13" s="61"/>
      <c r="C13" s="61"/>
      <c r="D13" s="61"/>
      <c r="E13" s="61"/>
      <c r="F13" s="61"/>
      <c r="G13" s="61"/>
      <c r="H13" s="113"/>
      <c r="I13" s="62"/>
    </row>
    <row r="14" spans="1:10" ht="12.75">
      <c r="A14" s="112" t="s">
        <v>199</v>
      </c>
      <c r="B14" s="61"/>
      <c r="C14" s="61">
        <f>'E-InvAT'!B10</f>
        <v>0</v>
      </c>
      <c r="D14" s="61">
        <f>'E-InvAT'!C10-'E-InvAT'!B10</f>
        <v>0.27625</v>
      </c>
      <c r="E14" s="61">
        <f>'E-InvAT'!D10-'E-InvAT'!C10</f>
        <v>-0.00017638036809813906</v>
      </c>
      <c r="F14" s="61">
        <f>'E-InvAT'!E10-'E-InvAT'!D10</f>
        <v>-0.00046386353434085814</v>
      </c>
      <c r="G14" s="61">
        <f>'E-InvAT'!F10-'E-InvAT'!E10</f>
        <v>-0.0001606543011538064</v>
      </c>
      <c r="H14" s="113">
        <f>'E-InvAT'!G10-'E-InvAT'!F10</f>
        <v>0.006903839380063392</v>
      </c>
      <c r="I14" s="62"/>
      <c r="J14" s="14" t="s">
        <v>476</v>
      </c>
    </row>
    <row r="15" spans="1:9" ht="12.75">
      <c r="A15" s="112" t="s">
        <v>200</v>
      </c>
      <c r="B15" s="61"/>
      <c r="C15" s="61">
        <f>'E-InvAT'!B11</f>
        <v>0</v>
      </c>
      <c r="D15" s="61">
        <f>'E-InvAT'!C11</f>
        <v>0</v>
      </c>
      <c r="E15" s="61">
        <f>'E-InvAT'!D11</f>
        <v>0</v>
      </c>
      <c r="F15" s="61">
        <f>'E-InvAT'!E11</f>
        <v>0</v>
      </c>
      <c r="G15" s="61">
        <f>'E-InvAT'!F11</f>
        <v>0</v>
      </c>
      <c r="H15" s="113">
        <f>'E-InvAT'!G11</f>
        <v>0</v>
      </c>
      <c r="I15" s="62"/>
    </row>
    <row r="16" spans="1:9" ht="12.75">
      <c r="A16" s="112" t="s">
        <v>201</v>
      </c>
      <c r="B16" s="61"/>
      <c r="C16" s="61">
        <f>'E-InvAT'!B12</f>
        <v>0</v>
      </c>
      <c r="D16" s="61">
        <f>'E-InvAT'!C12-'E-InvAT'!B12</f>
        <v>174597.9382354432</v>
      </c>
      <c r="E16" s="61">
        <f>'E-InvAT'!D12-'E-InvAT'!C12</f>
        <v>446.35331203386886</v>
      </c>
      <c r="F16" s="61">
        <f>'E-InvAT'!E12-'E-InvAT'!D12</f>
        <v>0</v>
      </c>
      <c r="G16" s="61">
        <f>'E-InvAT'!F12-'E-InvAT'!E12</f>
        <v>0</v>
      </c>
      <c r="H16" s="113">
        <f>'E-InvAT'!G12-'E-InvAT'!F12</f>
        <v>0</v>
      </c>
      <c r="I16" s="62"/>
    </row>
    <row r="17" spans="1:9" ht="12.75">
      <c r="A17" s="112" t="s">
        <v>202</v>
      </c>
      <c r="B17" s="61"/>
      <c r="C17" s="61"/>
      <c r="D17" s="61">
        <f>'E-InvAT'!C13</f>
        <v>261207.05884188652</v>
      </c>
      <c r="E17" s="61">
        <f>'E-InvAT'!D13</f>
        <v>0</v>
      </c>
      <c r="F17" s="61">
        <f>'E-InvAT'!E13</f>
        <v>0</v>
      </c>
      <c r="G17" s="61">
        <f>'E-InvAT'!F13</f>
        <v>0</v>
      </c>
      <c r="H17" s="113">
        <f>'E-InvAT'!G13</f>
        <v>0</v>
      </c>
      <c r="I17" s="62"/>
    </row>
    <row r="18" spans="1:9" ht="12.75">
      <c r="A18" s="104" t="s">
        <v>203</v>
      </c>
      <c r="B18" s="61"/>
      <c r="C18" s="61">
        <f>SUM(C11:C17)</f>
        <v>320000</v>
      </c>
      <c r="D18" s="61">
        <f>SUM(D11:D17)</f>
        <v>597997.0541492475</v>
      </c>
      <c r="E18" s="61">
        <f>SUM(E11:E17)</f>
        <v>449761.4216288042</v>
      </c>
      <c r="F18" s="61">
        <f>SUM(F11:F17)</f>
        <v>-0.00046386353434085814</v>
      </c>
      <c r="G18" s="61">
        <f>SUM(G11:G17)</f>
        <v>-0.0001606543011538064</v>
      </c>
      <c r="H18" s="113">
        <f>SUM(H11:H17)</f>
        <v>0.006903839380063392</v>
      </c>
      <c r="I18" s="62"/>
    </row>
    <row r="19" spans="1:9" ht="12.75">
      <c r="A19" s="112"/>
      <c r="B19" s="84"/>
      <c r="C19" s="84"/>
      <c r="D19" s="84"/>
      <c r="E19" s="84"/>
      <c r="F19" s="84"/>
      <c r="G19" s="84"/>
      <c r="H19" s="114"/>
      <c r="I19" s="85"/>
    </row>
    <row r="20" spans="1:9" ht="12.75">
      <c r="A20" s="104" t="s">
        <v>204</v>
      </c>
      <c r="B20" s="84"/>
      <c r="C20" s="84"/>
      <c r="D20" s="84"/>
      <c r="E20" s="84"/>
      <c r="F20" s="84"/>
      <c r="G20" s="84"/>
      <c r="H20" s="114"/>
      <c r="I20" s="85"/>
    </row>
    <row r="21" spans="1:9" ht="12.75">
      <c r="A21" s="112" t="s">
        <v>205</v>
      </c>
      <c r="B21" s="61">
        <f>B8*InfoInicial!B3</f>
        <v>73500</v>
      </c>
      <c r="C21" s="61">
        <f>C8*InfoInicial!B3</f>
        <v>2350389.384</v>
      </c>
      <c r="D21" s="61">
        <f>D8*InfoInicial!B3</f>
        <v>42000</v>
      </c>
      <c r="E21" s="61">
        <f>E8*InfoInicial!B3</f>
        <v>0</v>
      </c>
      <c r="F21" s="61">
        <f>F8*InfoInicial!B3</f>
        <v>0</v>
      </c>
      <c r="G21" s="61">
        <f>G8*InfoInicial!B3</f>
        <v>0</v>
      </c>
      <c r="H21" s="113">
        <f>H8*InfoInicial!B3</f>
        <v>0</v>
      </c>
      <c r="I21" s="62"/>
    </row>
    <row r="22" spans="1:9" ht="12.75">
      <c r="A22" s="112" t="s">
        <v>206</v>
      </c>
      <c r="B22" s="61">
        <f>B18*InfoInicial!B3</f>
        <v>0</v>
      </c>
      <c r="C22" s="61">
        <f>C18*InfoInicial!B3</f>
        <v>67200</v>
      </c>
      <c r="D22" s="61">
        <f>D18*InfoInicial!B3</f>
        <v>125579.38137134197</v>
      </c>
      <c r="E22" s="61">
        <f>E18*InfoInicial!B3</f>
        <v>94449.89854204888</v>
      </c>
      <c r="F22" s="61">
        <f>F18*InfoInicial!B3</f>
        <v>-9.74113422115802E-05</v>
      </c>
      <c r="G22" s="61">
        <f>G18*InfoInicial!B3</f>
        <v>-3.3737403242299346E-05</v>
      </c>
      <c r="H22" s="113">
        <f>H18*InfoInicial!B3</f>
        <v>0.0014498062698133124</v>
      </c>
      <c r="I22" s="62"/>
    </row>
    <row r="23" spans="1:9" ht="12.75">
      <c r="A23" s="104" t="s">
        <v>207</v>
      </c>
      <c r="B23" s="61">
        <f>SUM(B21:B22)</f>
        <v>73500</v>
      </c>
      <c r="C23" s="61">
        <f>SUM(C21:C22)</f>
        <v>2417589.384</v>
      </c>
      <c r="D23" s="61">
        <f>SUM(D21:D22)</f>
        <v>167579.38137134197</v>
      </c>
      <c r="E23" s="61">
        <f>SUM(E21:E22)</f>
        <v>94449.89854204888</v>
      </c>
      <c r="F23" s="61">
        <f>SUM(F21:F22)</f>
        <v>-9.74113422115802E-05</v>
      </c>
      <c r="G23" s="61">
        <f>SUM(G21:G22)</f>
        <v>-3.3737403242299346E-05</v>
      </c>
      <c r="H23" s="113">
        <f>SUM(H21:H22)</f>
        <v>0.0014498062698133124</v>
      </c>
      <c r="I23" s="62"/>
    </row>
    <row r="24" spans="1:9" ht="12.75">
      <c r="A24" s="104"/>
      <c r="B24" s="84"/>
      <c r="C24" s="84"/>
      <c r="D24" s="84"/>
      <c r="E24" s="84"/>
      <c r="F24" s="84"/>
      <c r="G24" s="84"/>
      <c r="H24" s="114"/>
      <c r="I24" s="85"/>
    </row>
    <row r="25" spans="1:9" ht="12.75">
      <c r="A25" s="108" t="s">
        <v>208</v>
      </c>
      <c r="B25" s="68">
        <f>B23+B18+B8</f>
        <v>423500</v>
      </c>
      <c r="C25" s="68">
        <f>C23+C18+C8</f>
        <v>13929919.784</v>
      </c>
      <c r="D25" s="68">
        <f>D23+D18+D8</f>
        <v>965576.4355205895</v>
      </c>
      <c r="E25" s="68">
        <f>E23+E18+E8</f>
        <v>544211.320170853</v>
      </c>
      <c r="F25" s="68">
        <f>F23+F18+F8</f>
        <v>-0.0005612748765524383</v>
      </c>
      <c r="G25" s="68">
        <f>G23+G18+G8</f>
        <v>-0.00019439170439610576</v>
      </c>
      <c r="H25" s="115">
        <f>H23+H18+H8</f>
        <v>0.008353645649876704</v>
      </c>
      <c r="I25" s="69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2">
      <selection activeCell="D40" sqref="D40"/>
    </sheetView>
  </sheetViews>
  <sheetFormatPr defaultColWidth="11.421875" defaultRowHeight="12.75"/>
  <cols>
    <col min="1" max="1" width="28.140625" style="14" customWidth="1"/>
    <col min="2" max="2" width="16.8515625" style="14" customWidth="1"/>
    <col min="3" max="3" width="16.421875" style="14" customWidth="1"/>
    <col min="4" max="7" width="14.00390625" style="14" customWidth="1"/>
    <col min="8" max="8" width="17.421875" style="14" customWidth="1"/>
    <col min="9" max="16384" width="11.421875" style="14" customWidth="1"/>
  </cols>
  <sheetData>
    <row r="1" spans="1:7" ht="12.75">
      <c r="A1" s="1" t="s">
        <v>0</v>
      </c>
      <c r="B1"/>
      <c r="C1"/>
      <c r="D1"/>
      <c r="G1" s="2" t="str">
        <f>InfoInicial!E1</f>
        <v>FIDEOS</v>
      </c>
    </row>
    <row r="2" spans="1:7" ht="15.75">
      <c r="A2" s="116" t="s">
        <v>209</v>
      </c>
      <c r="B2" s="54"/>
      <c r="C2" s="54"/>
      <c r="D2" s="54"/>
      <c r="E2" s="54"/>
      <c r="F2" s="54"/>
      <c r="G2" s="55"/>
    </row>
    <row r="3" spans="1:7" ht="15.75">
      <c r="A3" s="117"/>
      <c r="B3" s="118" t="s">
        <v>210</v>
      </c>
      <c r="C3" s="118"/>
      <c r="D3" s="118"/>
      <c r="E3" s="118"/>
      <c r="F3" s="118"/>
      <c r="G3" s="119"/>
    </row>
    <row r="4" spans="1:7" ht="12.75">
      <c r="A4" s="120" t="s">
        <v>87</v>
      </c>
      <c r="B4" s="109" t="s">
        <v>46</v>
      </c>
      <c r="C4" s="19" t="s">
        <v>47</v>
      </c>
      <c r="D4" s="19" t="s">
        <v>88</v>
      </c>
      <c r="E4" s="19" t="s">
        <v>89</v>
      </c>
      <c r="F4" s="19" t="s">
        <v>90</v>
      </c>
      <c r="G4" s="20" t="s">
        <v>91</v>
      </c>
    </row>
    <row r="5" spans="1:7" ht="12.75">
      <c r="A5" s="121" t="s">
        <v>211</v>
      </c>
      <c r="B5" s="122"/>
      <c r="C5" s="105"/>
      <c r="D5" s="105"/>
      <c r="E5" s="105"/>
      <c r="F5" s="105"/>
      <c r="G5" s="106"/>
    </row>
    <row r="6" spans="1:7" ht="12.75">
      <c r="A6" s="123" t="s">
        <v>212</v>
      </c>
      <c r="B6" s="124">
        <v>0</v>
      </c>
      <c r="C6" s="61">
        <f>'E-Costos'!B7*InfoInicial!B3</f>
        <v>2662097.484375</v>
      </c>
      <c r="D6" s="61">
        <f>'E-Costos'!C7*InfoInicial!B3</f>
        <v>4259355.975</v>
      </c>
      <c r="E6" s="61">
        <f>'E-Costos'!D7*InfoInicial!B3</f>
        <v>4259355.975</v>
      </c>
      <c r="F6" s="61">
        <f>'E-Costos'!E7*InfoInicial!B3</f>
        <v>4259355.975</v>
      </c>
      <c r="G6" s="62">
        <f>'E-Costos'!F7*InfoInicial!B3</f>
        <v>4259355.975</v>
      </c>
    </row>
    <row r="7" spans="1:7" ht="12.75">
      <c r="A7" s="123" t="s">
        <v>97</v>
      </c>
      <c r="B7" s="124">
        <v>0</v>
      </c>
      <c r="C7" s="61">
        <f>'E-Costos'!B12*InfoInicial!B3</f>
        <v>8400</v>
      </c>
      <c r="D7" s="61">
        <f>'E-Costos'!C12*InfoInicial!B3</f>
        <v>8400</v>
      </c>
      <c r="E7" s="61">
        <f>'E-Costos'!D12*InfoInicial!B3</f>
        <v>8400</v>
      </c>
      <c r="F7" s="61">
        <f>'E-Costos'!E12*InfoInicial!B3</f>
        <v>8400</v>
      </c>
      <c r="G7" s="62">
        <f>'E-Costos'!F12*InfoInicial!B3</f>
        <v>8400</v>
      </c>
    </row>
    <row r="8" spans="1:7" ht="12.75">
      <c r="A8" s="123" t="s">
        <v>98</v>
      </c>
      <c r="B8" s="124">
        <v>0</v>
      </c>
      <c r="C8" s="61">
        <f>'E-Costos'!B13*InfoInicial!B3</f>
        <v>4770.662399999999</v>
      </c>
      <c r="D8" s="61">
        <f>'E-Costos'!C13*InfoInicial!B3</f>
        <v>7633.05984</v>
      </c>
      <c r="E8" s="61">
        <f>'E-Costos'!D13*InfoInicial!B3</f>
        <v>7633.05984</v>
      </c>
      <c r="F8" s="61">
        <f>'E-Costos'!E13*InfoInicial!B3</f>
        <v>7633.05984</v>
      </c>
      <c r="G8" s="62">
        <f>'E-Costos'!F13*InfoInicial!B3</f>
        <v>7633.05984</v>
      </c>
    </row>
    <row r="9" spans="1:7" ht="12.75">
      <c r="A9" s="123" t="s">
        <v>99</v>
      </c>
      <c r="B9" s="124">
        <v>0</v>
      </c>
      <c r="C9" s="61">
        <f>'E-Costos'!B14*InfoInicial!B3</f>
        <v>0</v>
      </c>
      <c r="D9" s="61">
        <f>'E-Costos'!C14*InfoInicial!B3</f>
        <v>0</v>
      </c>
      <c r="E9" s="61">
        <f>'E-Costos'!D14*InfoInicial!B3</f>
        <v>0</v>
      </c>
      <c r="F9" s="61">
        <f>'E-Costos'!E14*InfoInicial!B3</f>
        <v>0</v>
      </c>
      <c r="G9" s="62">
        <f>'E-Costos'!F14*InfoInicial!B3</f>
        <v>0</v>
      </c>
    </row>
    <row r="10" spans="1:7" ht="12.75">
      <c r="A10" s="123" t="s">
        <v>213</v>
      </c>
      <c r="B10" s="124">
        <v>0</v>
      </c>
      <c r="C10" s="61">
        <v>0</v>
      </c>
      <c r="D10" s="61">
        <v>0</v>
      </c>
      <c r="E10" s="61">
        <v>0</v>
      </c>
      <c r="F10" s="61">
        <v>0</v>
      </c>
      <c r="G10" s="62">
        <v>0</v>
      </c>
    </row>
    <row r="11" spans="1:7" ht="12.75">
      <c r="A11" s="123" t="s">
        <v>123</v>
      </c>
      <c r="B11" s="124">
        <v>0</v>
      </c>
      <c r="C11" s="61">
        <f>'E-Costos'!B16*InfoInicial!B3</f>
        <v>69298.33148574</v>
      </c>
      <c r="D11" s="61">
        <f>'E-Costos'!C16*InfoInicial!B3</f>
        <v>101300.74924703999</v>
      </c>
      <c r="E11" s="61">
        <f>'E-Costos'!D16*InfoInicial!B3</f>
        <v>101300.74924703999</v>
      </c>
      <c r="F11" s="61">
        <f>'E-Costos'!E16*InfoInicial!B3</f>
        <v>101300.74924703999</v>
      </c>
      <c r="G11" s="62">
        <f>'E-Costos'!F16*InfoInicial!B3</f>
        <v>101300.74924703999</v>
      </c>
    </row>
    <row r="12" spans="1:7" ht="12.75">
      <c r="A12" s="125" t="s">
        <v>82</v>
      </c>
      <c r="B12" s="124">
        <f>SUM(B5:B11)</f>
        <v>0</v>
      </c>
      <c r="C12" s="61">
        <f>SUM(C5:C11)</f>
        <v>2744566.4782607397</v>
      </c>
      <c r="D12" s="61">
        <f>SUM(D5:D11)</f>
        <v>4376689.7840870395</v>
      </c>
      <c r="E12" s="61">
        <f>SUM(E5:E11)</f>
        <v>4376689.7840870395</v>
      </c>
      <c r="F12" s="61">
        <f>SUM(F5:F11)</f>
        <v>4376689.7840870395</v>
      </c>
      <c r="G12" s="62">
        <f>SUM(G5:G11)</f>
        <v>4376689.7840870395</v>
      </c>
    </row>
    <row r="13" spans="1:7" ht="12.75">
      <c r="A13" s="123" t="s">
        <v>214</v>
      </c>
      <c r="B13" s="124"/>
      <c r="C13" s="61"/>
      <c r="D13" s="61"/>
      <c r="E13" s="61"/>
      <c r="F13" s="61"/>
      <c r="G13" s="62"/>
    </row>
    <row r="14" spans="1:7" ht="12.75">
      <c r="A14" s="123" t="s">
        <v>215</v>
      </c>
      <c r="B14" s="126"/>
      <c r="C14" s="84"/>
      <c r="D14" s="84"/>
      <c r="E14" s="84"/>
      <c r="F14" s="84"/>
      <c r="G14" s="85"/>
    </row>
    <row r="15" spans="1:7" ht="12.75">
      <c r="A15" s="123" t="s">
        <v>216</v>
      </c>
      <c r="B15" s="61"/>
      <c r="C15" s="367">
        <f>'E-InvAT'!C32</f>
        <v>5047577.037552</v>
      </c>
      <c r="D15" s="61">
        <f>'E-InvAT'!D32</f>
        <v>5047577.037552</v>
      </c>
      <c r="E15" s="61">
        <f>'E-InvAT'!E32</f>
        <v>5047577.037552</v>
      </c>
      <c r="F15" s="61">
        <f>'E-InvAT'!E32</f>
        <v>5047577.037552</v>
      </c>
      <c r="G15" s="62">
        <f>'E-InvAT'!G32</f>
        <v>0</v>
      </c>
    </row>
    <row r="16" spans="1:7" ht="12.75">
      <c r="A16" s="123" t="s">
        <v>217</v>
      </c>
      <c r="B16" s="124"/>
      <c r="C16" s="61">
        <f>'E-InvAT'!C33</f>
        <v>0</v>
      </c>
      <c r="D16" s="61">
        <f>'E-InvAT'!D33</f>
        <v>0</v>
      </c>
      <c r="E16" s="61">
        <f>'E-InvAT'!E33</f>
        <v>0</v>
      </c>
      <c r="F16" s="61">
        <f>'E-InvAT'!F33</f>
        <v>0</v>
      </c>
      <c r="G16" s="62">
        <f>'E-InvAT'!G33</f>
        <v>0</v>
      </c>
    </row>
    <row r="17" spans="1:7" ht="12.75">
      <c r="A17" s="125" t="s">
        <v>218</v>
      </c>
      <c r="B17" s="124"/>
      <c r="C17" s="61">
        <f>C12-C15-C16</f>
        <v>-2303010.5592912603</v>
      </c>
      <c r="D17" s="61">
        <f>D12-D15-D16</f>
        <v>-670887.2534649605</v>
      </c>
      <c r="E17" s="61">
        <f>E12-E15-E16</f>
        <v>-670887.2534649605</v>
      </c>
      <c r="F17" s="61">
        <f>F12-F15-F16</f>
        <v>-670887.2534649605</v>
      </c>
      <c r="G17" s="62">
        <f>G12-G15-G16</f>
        <v>4376689.7840870395</v>
      </c>
    </row>
    <row r="18" spans="1:7" ht="12.75">
      <c r="A18" s="125" t="s">
        <v>219</v>
      </c>
      <c r="B18" s="124"/>
      <c r="C18" s="61"/>
      <c r="D18" s="61"/>
      <c r="E18" s="61"/>
      <c r="F18" s="61"/>
      <c r="G18" s="62"/>
    </row>
    <row r="19" spans="1:7" ht="12.75">
      <c r="A19" s="125" t="s">
        <v>220</v>
      </c>
      <c r="B19" s="124"/>
      <c r="C19" s="61"/>
      <c r="D19" s="61"/>
      <c r="E19" s="61"/>
      <c r="F19" s="61"/>
      <c r="G19" s="62"/>
    </row>
    <row r="20" spans="1:7" ht="12.75">
      <c r="A20" s="125"/>
      <c r="B20" s="126"/>
      <c r="C20" s="84"/>
      <c r="D20" s="84"/>
      <c r="E20" s="84"/>
      <c r="F20" s="84"/>
      <c r="G20" s="85"/>
    </row>
    <row r="21" spans="1:7" ht="12.75">
      <c r="A21" s="123" t="s">
        <v>221</v>
      </c>
      <c r="B21" s="124"/>
      <c r="C21" s="61">
        <f>SUM(C17:C19)</f>
        <v>-2303010.5592912603</v>
      </c>
      <c r="D21" s="61">
        <f>SUM(D17:D19)</f>
        <v>-670887.2534649605</v>
      </c>
      <c r="E21" s="61">
        <f>SUM(E17:E19)</f>
        <v>-670887.2534649605</v>
      </c>
      <c r="F21" s="61">
        <f>SUM(F17:F19)</f>
        <v>-670887.2534649605</v>
      </c>
      <c r="G21" s="62">
        <f>SUM(G17:G19)</f>
        <v>4376689.7840870395</v>
      </c>
    </row>
    <row r="22" spans="1:7" ht="12.75">
      <c r="A22" s="123" t="s">
        <v>222</v>
      </c>
      <c r="B22" s="124"/>
      <c r="C22" s="61">
        <f>'E-Costos'!B87*InfoInicial!B3</f>
        <v>4200000</v>
      </c>
      <c r="D22" s="61">
        <f>'E-Costos'!C87*InfoInicial!B3</f>
        <v>8400000</v>
      </c>
      <c r="E22" s="61">
        <f>'E-Costos'!D87*InfoInicial!B3</f>
        <v>8400000</v>
      </c>
      <c r="F22" s="61">
        <f>'E-Costos'!E87*InfoInicial!B3</f>
        <v>8400000</v>
      </c>
      <c r="G22" s="62">
        <f>'E-Costos'!F87*InfoInicial!B3</f>
        <v>8400000</v>
      </c>
    </row>
    <row r="23" spans="1:7" ht="12.75">
      <c r="A23" s="125" t="s">
        <v>223</v>
      </c>
      <c r="B23" s="124"/>
      <c r="C23" s="61">
        <f>C22-C21</f>
        <v>6503010.55929126</v>
      </c>
      <c r="D23" s="61">
        <f>D22-D21</f>
        <v>9070887.25346496</v>
      </c>
      <c r="E23" s="61">
        <f>E22-E21</f>
        <v>9070887.25346496</v>
      </c>
      <c r="F23" s="61">
        <f>F22-F21</f>
        <v>9070887.25346496</v>
      </c>
      <c r="G23" s="62">
        <f>G22-G21</f>
        <v>4023310.2159129605</v>
      </c>
    </row>
    <row r="24" spans="1:7" ht="12.75">
      <c r="A24" s="123"/>
      <c r="B24" s="126"/>
      <c r="C24" s="84"/>
      <c r="D24" s="84"/>
      <c r="E24" s="84"/>
      <c r="F24" s="84"/>
      <c r="G24" s="85"/>
    </row>
    <row r="25" spans="1:7" ht="12.75">
      <c r="A25" s="127" t="s">
        <v>224</v>
      </c>
      <c r="B25" s="124">
        <v>0</v>
      </c>
      <c r="C25" s="124">
        <v>2545941.384</v>
      </c>
      <c r="D25" s="314">
        <f>C27</f>
        <v>0</v>
      </c>
      <c r="E25" s="61">
        <f>D27</f>
        <v>0</v>
      </c>
      <c r="F25" s="61">
        <f>E27</f>
        <v>0</v>
      </c>
      <c r="G25" s="62">
        <f>F27</f>
        <v>0</v>
      </c>
    </row>
    <row r="26" spans="1:7" ht="12.75">
      <c r="A26" s="127" t="s">
        <v>225</v>
      </c>
      <c r="B26" s="61">
        <f>'E-Cal Inv.'!B23+'E-Cal Inv.'!C23</f>
        <v>2491089.384</v>
      </c>
      <c r="C26" s="61">
        <f>'E-Cal Inv.'!D23</f>
        <v>167579.38137134197</v>
      </c>
      <c r="D26" s="61"/>
      <c r="E26" s="61"/>
      <c r="F26" s="61"/>
      <c r="G26" s="62"/>
    </row>
    <row r="27" spans="1:7" ht="12.75">
      <c r="A27" s="125" t="s">
        <v>226</v>
      </c>
      <c r="B27" s="124">
        <f>B26</f>
        <v>2491089.384</v>
      </c>
      <c r="C27" s="61">
        <f>IF(C25+C26-C23&lt;0,0,C25+C26-C23)</f>
        <v>0</v>
      </c>
      <c r="D27" s="61">
        <f>IF(D25+D26-D23&lt;0,0,D25+D26-D23)</f>
        <v>0</v>
      </c>
      <c r="E27" s="61">
        <f>IF(E25+E26-E23&lt;0,0,E25+E26-E23)</f>
        <v>0</v>
      </c>
      <c r="F27" s="61">
        <f>IF(F25+F26-F23,0,F25+F26-F23)</f>
        <v>0</v>
      </c>
      <c r="G27" s="62">
        <f>IF(G25+G26-G23,0,G25+G26-G23)</f>
        <v>0</v>
      </c>
    </row>
    <row r="28" spans="1:7" ht="12.75">
      <c r="A28" s="125" t="s">
        <v>227</v>
      </c>
      <c r="B28" s="124">
        <v>0</v>
      </c>
      <c r="C28" s="61">
        <f>IF((C25+C26)&gt;C23,C23,C25+C26)</f>
        <v>2713520.765371342</v>
      </c>
      <c r="D28" s="61">
        <f>IF((D25+D26)&gt;D23,D23,D25+D26)</f>
        <v>0</v>
      </c>
      <c r="E28" s="61">
        <f>IF((E25+E26)&gt;E23,E23,E25+E26)</f>
        <v>0</v>
      </c>
      <c r="F28" s="61">
        <f>IF((F25+F26)&gt;F23,F23,F25+F26)</f>
        <v>0</v>
      </c>
      <c r="G28" s="62">
        <f>IF((G25+G26)&gt;G23,G23,G25+G26)</f>
        <v>0</v>
      </c>
    </row>
    <row r="29" spans="1:7" ht="12.75">
      <c r="A29" s="123"/>
      <c r="B29" s="126"/>
      <c r="C29" s="84"/>
      <c r="D29" s="84"/>
      <c r="E29" s="84"/>
      <c r="F29" s="84"/>
      <c r="G29" s="85"/>
    </row>
    <row r="30" spans="1:7" ht="12.75">
      <c r="A30" s="128" t="s">
        <v>228</v>
      </c>
      <c r="B30" s="129">
        <v>0</v>
      </c>
      <c r="C30" s="68">
        <f>C23-C28</f>
        <v>3789489.793919918</v>
      </c>
      <c r="D30" s="68">
        <f>D23-D28</f>
        <v>9070887.25346496</v>
      </c>
      <c r="E30" s="68">
        <f>E23-E28</f>
        <v>9070887.25346496</v>
      </c>
      <c r="F30" s="68">
        <f>F23-F28</f>
        <v>9070887.25346496</v>
      </c>
      <c r="G30" s="69">
        <f>G23-G28</f>
        <v>4023310.2159129605</v>
      </c>
    </row>
    <row r="33" spans="3:7" ht="12.75">
      <c r="C33" s="368">
        <f>C28+C30</f>
        <v>6503010.55929126</v>
      </c>
      <c r="D33" s="368">
        <f>D28+D30</f>
        <v>9070887.25346496</v>
      </c>
      <c r="E33" s="368">
        <f>E28+E30</f>
        <v>9070887.25346496</v>
      </c>
      <c r="F33" s="368">
        <f>F28+F30</f>
        <v>9070887.25346496</v>
      </c>
      <c r="G33" s="368">
        <f>G28+G30</f>
        <v>4023310.2159129605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8.00390625" style="14" customWidth="1"/>
    <col min="2" max="2" width="14.8515625" style="14" customWidth="1"/>
    <col min="3" max="3" width="16.57421875" style="14" customWidth="1"/>
    <col min="4" max="10" width="14.8515625" style="14" customWidth="1"/>
    <col min="11" max="11" width="15.28125" style="14" customWidth="1"/>
    <col min="12" max="12" width="16.8515625" style="14" customWidth="1"/>
    <col min="13" max="13" width="16.57421875" style="14" customWidth="1"/>
    <col min="14" max="14" width="17.421875" style="14" customWidth="1"/>
    <col min="15" max="16384" width="11.421875" style="14" customWidth="1"/>
  </cols>
  <sheetData>
    <row r="1" spans="1:8" ht="12.75">
      <c r="A1" s="1" t="s">
        <v>0</v>
      </c>
      <c r="B1"/>
      <c r="C1"/>
      <c r="D1"/>
      <c r="G1" s="14" t="str">
        <f>InfoInicial!E1</f>
        <v>FIDEOS</v>
      </c>
      <c r="H1" s="2"/>
    </row>
    <row r="2" spans="1:13" ht="15.75">
      <c r="A2" s="116" t="s">
        <v>229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38.25">
      <c r="A3" s="120" t="s">
        <v>230</v>
      </c>
      <c r="B3" s="109" t="s">
        <v>231</v>
      </c>
      <c r="C3" s="109" t="s">
        <v>232</v>
      </c>
      <c r="D3" s="109" t="s">
        <v>233</v>
      </c>
      <c r="E3" s="109" t="s">
        <v>3</v>
      </c>
      <c r="F3" s="109" t="s">
        <v>234</v>
      </c>
      <c r="G3" s="109" t="s">
        <v>235</v>
      </c>
      <c r="H3" s="109" t="s">
        <v>236</v>
      </c>
      <c r="I3" s="109" t="s">
        <v>95</v>
      </c>
      <c r="J3" s="109" t="s">
        <v>237</v>
      </c>
      <c r="K3" s="109" t="s">
        <v>238</v>
      </c>
      <c r="L3" s="130" t="s">
        <v>239</v>
      </c>
      <c r="M3" s="131" t="s">
        <v>240</v>
      </c>
    </row>
    <row r="4" spans="1:13" ht="12.75">
      <c r="A4" s="132">
        <v>0</v>
      </c>
      <c r="B4" s="133">
        <f>'E-Inv AF y Am'!B33</f>
        <v>11542330.4</v>
      </c>
      <c r="C4" s="59">
        <f>'E-InvAT'!B25</f>
        <v>305921.824</v>
      </c>
      <c r="D4" s="59">
        <f>'E-Cal Inv.'!B23+'E-Cal Inv.'!C23</f>
        <v>2491089.384</v>
      </c>
      <c r="E4" s="59">
        <v>0</v>
      </c>
      <c r="F4" s="59">
        <v>0</v>
      </c>
      <c r="G4" s="59">
        <f>SUM(B4:F4)</f>
        <v>14339341.608</v>
      </c>
      <c r="H4" s="59">
        <v>0</v>
      </c>
      <c r="I4" s="59">
        <v>0</v>
      </c>
      <c r="J4" s="59"/>
      <c r="K4" s="59">
        <f>SUM(H4:J4)</f>
        <v>0</v>
      </c>
      <c r="L4" s="134">
        <f>K4-G4</f>
        <v>-14339341.608</v>
      </c>
      <c r="M4" s="60">
        <f>L4</f>
        <v>-14339341.608</v>
      </c>
    </row>
    <row r="5" spans="1:13" ht="12.75">
      <c r="A5" s="135">
        <v>1</v>
      </c>
      <c r="B5" s="124">
        <f>'E-Inv AF y Am'!C33</f>
        <v>200000</v>
      </c>
      <c r="C5" s="61">
        <f>'E-InvAT'!C25</f>
        <v>438405.4936081321</v>
      </c>
      <c r="D5" s="61">
        <f>'E-Cal Inv.'!D23</f>
        <v>167579.38137134197</v>
      </c>
      <c r="E5" s="61">
        <f>'E-Costos'!B116</f>
        <v>92447.96767830476</v>
      </c>
      <c r="F5" s="61">
        <f>'E-Costos'!B117</f>
        <v>614778.9850607266</v>
      </c>
      <c r="G5" s="61">
        <f>SUM(B5:F5)</f>
        <v>1513211.8277185056</v>
      </c>
      <c r="H5" s="61">
        <f>'E-Costos'!B115</f>
        <v>1848959.3535660952</v>
      </c>
      <c r="I5" s="61">
        <f>'E-Costos'!B124</f>
        <v>985630.8080000001</v>
      </c>
      <c r="J5" s="61">
        <f>'E-IVA '!C28</f>
        <v>2713520.765371342</v>
      </c>
      <c r="K5" s="61">
        <f>SUM(H5:J5)</f>
        <v>5548110.926937438</v>
      </c>
      <c r="L5" s="113">
        <f>K5-G5</f>
        <v>4034899.099218932</v>
      </c>
      <c r="M5" s="62">
        <f>M4+L5</f>
        <v>-10304442.508781068</v>
      </c>
    </row>
    <row r="6" spans="1:13" ht="12.75">
      <c r="A6" s="135">
        <v>2</v>
      </c>
      <c r="B6" s="124"/>
      <c r="C6" s="61">
        <f>'E-InvAT'!D25</f>
        <v>167454.7431738103</v>
      </c>
      <c r="D6" s="61">
        <f>'E-Cal Inv.'!E23</f>
        <v>94449.89854204888</v>
      </c>
      <c r="E6" s="61">
        <f>'E-Costos'!C116</f>
        <v>635311.8176536019</v>
      </c>
      <c r="F6" s="61">
        <f>'E-Costos'!C117</f>
        <v>4224823.587396451</v>
      </c>
      <c r="G6" s="61">
        <f>SUM(B6:F6)</f>
        <v>5122040.046765912</v>
      </c>
      <c r="H6" s="61">
        <f>'E-Costos'!C115</f>
        <v>12706236.353072036</v>
      </c>
      <c r="I6" s="61">
        <f>'E-Costos'!C124</f>
        <v>985630.8080000001</v>
      </c>
      <c r="J6" s="61"/>
      <c r="K6" s="61">
        <f>SUM(H6:J6)</f>
        <v>13691867.161072036</v>
      </c>
      <c r="L6" s="113">
        <f>K6-G6</f>
        <v>8569827.114306124</v>
      </c>
      <c r="M6" s="62">
        <f>M5+L6</f>
        <v>-1734615.394474944</v>
      </c>
    </row>
    <row r="7" spans="1:13" ht="12.75">
      <c r="A7" s="135">
        <v>3</v>
      </c>
      <c r="B7" s="124"/>
      <c r="C7" s="61">
        <f>'E-InvAT'!E25</f>
        <v>1312.6865164220799</v>
      </c>
      <c r="D7" s="61">
        <f>'E-Cal Inv.'!F23</f>
        <v>-9.74113422115802E-05</v>
      </c>
      <c r="E7" s="61">
        <f>'E-Costos'!D116</f>
        <v>635289.4999880001</v>
      </c>
      <c r="F7" s="61">
        <f>'E-Costos'!D117</f>
        <v>4224675.1749202</v>
      </c>
      <c r="G7" s="61">
        <f>SUM(B7:F7)</f>
        <v>4861277.361327211</v>
      </c>
      <c r="H7" s="61">
        <f>'E-Costos'!D115</f>
        <v>12705789.999760002</v>
      </c>
      <c r="I7" s="61">
        <f>'E-Costos'!D124</f>
        <v>985630.8080000001</v>
      </c>
      <c r="J7" s="61"/>
      <c r="K7" s="61">
        <f>SUM(H7:J7)</f>
        <v>13691420.807760002</v>
      </c>
      <c r="L7" s="113">
        <f>K7-G7</f>
        <v>8830143.446432792</v>
      </c>
      <c r="M7" s="62">
        <f>M6+L7</f>
        <v>7095528.051957848</v>
      </c>
    </row>
    <row r="8" spans="1:13" ht="12.75">
      <c r="A8" s="135">
        <v>4</v>
      </c>
      <c r="B8" s="124"/>
      <c r="C8" s="61">
        <f>'E-InvAT'!F25</f>
        <v>-0.0001606543082743883</v>
      </c>
      <c r="D8" s="61">
        <f>'E-Cal Inv.'!G23</f>
        <v>-3.3737403242299346E-05</v>
      </c>
      <c r="E8" s="61">
        <f>'E-Costos'!E116</f>
        <v>635289.4999880001</v>
      </c>
      <c r="F8" s="61">
        <f>'E-Costos'!E117</f>
        <v>4224675.1749202</v>
      </c>
      <c r="G8" s="61">
        <f>SUM(B8:F8)</f>
        <v>4859964.674713809</v>
      </c>
      <c r="H8" s="61">
        <f>'E-Costos'!E115</f>
        <v>12705789.999760002</v>
      </c>
      <c r="I8" s="61">
        <f>'E-Costos'!E124</f>
        <v>977650.8080000001</v>
      </c>
      <c r="J8" s="61"/>
      <c r="K8" s="61">
        <f>SUM(H8:J8)</f>
        <v>13683440.807760002</v>
      </c>
      <c r="L8" s="113">
        <f>K8-G8</f>
        <v>8823476.133046193</v>
      </c>
      <c r="M8" s="62">
        <f>M7+L8</f>
        <v>15919004.18500404</v>
      </c>
    </row>
    <row r="9" spans="1:13" ht="12.75">
      <c r="A9" s="135">
        <v>5</v>
      </c>
      <c r="B9" s="124">
        <f>-'E-Inv AF y Am'!G56</f>
        <v>-835800</v>
      </c>
      <c r="C9" s="61">
        <f>'E-InvAT'!G25-'E-InvAT'!G22</f>
        <v>-913094.7471377102</v>
      </c>
      <c r="D9" s="61">
        <f>'E-Cal Inv.'!H23</f>
        <v>0.0014498062698133124</v>
      </c>
      <c r="E9" s="61">
        <f>'E-Costos'!F116</f>
        <v>635289.4999880001</v>
      </c>
      <c r="F9" s="61">
        <f>'E-Costos'!F117</f>
        <v>4224675.1749202</v>
      </c>
      <c r="G9" s="61">
        <f>SUM(B9:F9)</f>
        <v>3111069.9292202964</v>
      </c>
      <c r="H9" s="61">
        <f>'E-Costos'!F115</f>
        <v>12705789.999760002</v>
      </c>
      <c r="I9" s="61">
        <f>'E-Costos'!F124</f>
        <v>977650.8080000001</v>
      </c>
      <c r="J9" s="61"/>
      <c r="K9" s="61">
        <f>SUM(H9:J9)</f>
        <v>13683440.807760002</v>
      </c>
      <c r="L9" s="113">
        <f>K9-G9</f>
        <v>10572370.878539706</v>
      </c>
      <c r="M9" s="62">
        <f>M8+L9</f>
        <v>26491375.063543744</v>
      </c>
    </row>
    <row r="10" spans="1:13" ht="12.75">
      <c r="A10" s="135"/>
      <c r="B10" s="126"/>
      <c r="C10" s="84"/>
      <c r="D10" s="84"/>
      <c r="E10" s="84"/>
      <c r="F10" s="84"/>
      <c r="G10" s="84"/>
      <c r="H10" s="84"/>
      <c r="I10" s="84"/>
      <c r="J10" s="84"/>
      <c r="K10" s="84"/>
      <c r="L10" s="114"/>
      <c r="M10" s="85"/>
    </row>
    <row r="11" spans="1:13" ht="12.75">
      <c r="A11" s="136" t="s">
        <v>241</v>
      </c>
      <c r="B11" s="129">
        <f>SUM(B4:B9)</f>
        <v>10906530.4</v>
      </c>
      <c r="C11" s="68">
        <f>SUM(C4:C9)</f>
        <v>0</v>
      </c>
      <c r="D11" s="68">
        <f>SUM(D4:D9)</f>
        <v>2753118.6652320484</v>
      </c>
      <c r="E11" s="68">
        <f>SUM(E4:E9)</f>
        <v>2633628.285295907</v>
      </c>
      <c r="F11" s="68">
        <f>SUM(F4:F9)</f>
        <v>17513628.09721778</v>
      </c>
      <c r="G11" s="68">
        <f>SUM(G4:G9)</f>
        <v>33806905.44774573</v>
      </c>
      <c r="H11" s="68">
        <f>SUM(H4:H9)</f>
        <v>52672565.70591813</v>
      </c>
      <c r="I11" s="68">
        <f>SUM(I4:I9)</f>
        <v>4912194.04</v>
      </c>
      <c r="J11" s="68">
        <f>SUM(J4:J9)</f>
        <v>2713520.765371342</v>
      </c>
      <c r="K11" s="68">
        <f>SUM(K4:K9)</f>
        <v>60298280.51128948</v>
      </c>
      <c r="L11" s="115"/>
      <c r="M11" s="69">
        <f>M9</f>
        <v>26491375.063543744</v>
      </c>
    </row>
    <row r="13" spans="3:4" ht="12.75">
      <c r="C13" s="137" t="s">
        <v>242</v>
      </c>
      <c r="D13" s="138">
        <f>M9</f>
        <v>26491375.063543744</v>
      </c>
    </row>
    <row r="14" spans="1:7" ht="12.75">
      <c r="A14" s="73"/>
      <c r="C14" s="137" t="s">
        <v>243</v>
      </c>
      <c r="D14" s="139">
        <v>2</v>
      </c>
      <c r="E14" s="14" t="s">
        <v>244</v>
      </c>
      <c r="F14" s="315">
        <f>365*-M6/(M6+M7)</f>
        <v>118.10202094966209</v>
      </c>
      <c r="G14" s="14" t="s">
        <v>478</v>
      </c>
    </row>
    <row r="15" spans="3:4" ht="12.75">
      <c r="C15" s="137" t="s">
        <v>245</v>
      </c>
      <c r="D15" s="140">
        <f>IRR(L4:L9)</f>
        <v>0.41404739388058087</v>
      </c>
    </row>
    <row r="17" spans="3:4" ht="12.75">
      <c r="C17" s="369" t="s">
        <v>477</v>
      </c>
      <c r="D17" s="315">
        <f>H11-E11-F11</f>
        <v>32525309.32340445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7.28125" style="14" customWidth="1"/>
    <col min="2" max="9" width="15.140625" style="14" customWidth="1"/>
    <col min="10" max="16384" width="11.421875" style="14" customWidth="1"/>
  </cols>
  <sheetData>
    <row r="1" spans="1:7" ht="12.75">
      <c r="A1" s="1" t="s">
        <v>0</v>
      </c>
      <c r="B1"/>
      <c r="C1"/>
      <c r="D1"/>
      <c r="F1" s="141" t="str">
        <f>InfoInicial!E1</f>
        <v>FIDEOS</v>
      </c>
      <c r="G1" s="2"/>
    </row>
    <row r="2" spans="1:7" ht="15.75">
      <c r="A2" s="142" t="s">
        <v>246</v>
      </c>
      <c r="B2" s="89"/>
      <c r="C2" s="89"/>
      <c r="D2" s="89"/>
      <c r="E2" s="89"/>
      <c r="F2" s="89"/>
      <c r="G2" s="90"/>
    </row>
    <row r="3" spans="1:7" ht="12.75">
      <c r="A3" s="56" t="s">
        <v>87</v>
      </c>
      <c r="B3" s="355" t="s">
        <v>247</v>
      </c>
      <c r="C3" s="355"/>
      <c r="D3" s="355" t="s">
        <v>248</v>
      </c>
      <c r="E3" s="355"/>
      <c r="F3" s="356" t="s">
        <v>249</v>
      </c>
      <c r="G3" s="356"/>
    </row>
    <row r="4" spans="1:7" ht="12.75">
      <c r="A4" s="56" t="s">
        <v>73</v>
      </c>
      <c r="B4" s="143" t="s">
        <v>250</v>
      </c>
      <c r="C4" s="143" t="s">
        <v>251</v>
      </c>
      <c r="D4" s="143" t="s">
        <v>250</v>
      </c>
      <c r="E4" s="143" t="s">
        <v>251</v>
      </c>
      <c r="F4" s="143" t="s">
        <v>250</v>
      </c>
      <c r="G4" s="144" t="s">
        <v>251</v>
      </c>
    </row>
    <row r="5" spans="1:7" ht="12.75">
      <c r="A5" s="26" t="s">
        <v>252</v>
      </c>
      <c r="B5" s="61"/>
      <c r="C5" s="86"/>
      <c r="D5" s="61"/>
      <c r="E5" s="86"/>
      <c r="F5" s="61"/>
      <c r="G5" s="87"/>
    </row>
    <row r="6" spans="1:7" ht="12.75">
      <c r="A6" s="24" t="s">
        <v>253</v>
      </c>
      <c r="B6" s="61"/>
      <c r="C6" s="86"/>
      <c r="D6" s="61"/>
      <c r="E6" s="86"/>
      <c r="F6" s="61"/>
      <c r="G6" s="87"/>
    </row>
    <row r="7" spans="1:7" ht="12.75">
      <c r="A7" s="24" t="s">
        <v>254</v>
      </c>
      <c r="B7" s="61"/>
      <c r="C7" s="86"/>
      <c r="D7" s="61"/>
      <c r="E7" s="97"/>
      <c r="F7" s="61"/>
      <c r="G7" s="87"/>
    </row>
    <row r="8" spans="1:7" ht="12.75">
      <c r="A8" s="32" t="s">
        <v>190</v>
      </c>
      <c r="B8" s="145"/>
      <c r="C8" s="146"/>
      <c r="D8" s="145"/>
      <c r="E8" s="146"/>
      <c r="F8" s="145"/>
      <c r="G8" s="147"/>
    </row>
    <row r="9" spans="1:7" ht="12.75">
      <c r="A9" s="73"/>
      <c r="B9" s="52"/>
      <c r="C9" s="148"/>
      <c r="D9" s="52"/>
      <c r="E9" s="52"/>
      <c r="F9" s="52"/>
      <c r="G9" s="52"/>
    </row>
    <row r="10" spans="1:9" ht="15.75">
      <c r="A10" s="149" t="s">
        <v>255</v>
      </c>
      <c r="B10" s="150"/>
      <c r="C10" s="150"/>
      <c r="D10" s="150"/>
      <c r="E10" s="150"/>
      <c r="F10" s="150"/>
      <c r="G10" s="150"/>
      <c r="H10" s="150"/>
      <c r="I10" s="151"/>
    </row>
    <row r="11" spans="1:9" ht="12.75">
      <c r="A11" s="152" t="s">
        <v>256</v>
      </c>
      <c r="B11" s="153" t="s">
        <v>257</v>
      </c>
      <c r="C11" s="153" t="s">
        <v>258</v>
      </c>
      <c r="D11" s="153" t="s">
        <v>259</v>
      </c>
      <c r="E11" s="153" t="s">
        <v>258</v>
      </c>
      <c r="F11" s="153" t="s">
        <v>260</v>
      </c>
      <c r="G11" s="153" t="s">
        <v>259</v>
      </c>
      <c r="H11" s="153"/>
      <c r="I11" s="154" t="s">
        <v>261</v>
      </c>
    </row>
    <row r="12" spans="1:9" ht="12.75">
      <c r="A12" s="155"/>
      <c r="B12" s="156"/>
      <c r="C12" s="156" t="s">
        <v>262</v>
      </c>
      <c r="D12" s="156" t="s">
        <v>262</v>
      </c>
      <c r="E12" s="156" t="s">
        <v>35</v>
      </c>
      <c r="F12" s="156" t="s">
        <v>263</v>
      </c>
      <c r="G12" s="156" t="s">
        <v>35</v>
      </c>
      <c r="H12" s="156" t="s">
        <v>264</v>
      </c>
      <c r="I12" s="157" t="s">
        <v>265</v>
      </c>
    </row>
    <row r="13" spans="1:9" ht="12.75">
      <c r="A13" s="158"/>
      <c r="B13" s="82"/>
      <c r="C13" s="82"/>
      <c r="D13" s="82"/>
      <c r="E13" s="82"/>
      <c r="F13" s="159"/>
      <c r="G13" s="82"/>
      <c r="H13" s="160"/>
      <c r="I13" s="83"/>
    </row>
    <row r="14" spans="1:9" ht="12.75">
      <c r="A14" s="161"/>
      <c r="B14" s="61"/>
      <c r="C14" s="61"/>
      <c r="D14" s="61"/>
      <c r="E14" s="61"/>
      <c r="F14" s="25"/>
      <c r="G14" s="61"/>
      <c r="H14" s="97"/>
      <c r="I14" s="62"/>
    </row>
    <row r="15" spans="1:9" ht="12.75">
      <c r="A15" s="161"/>
      <c r="B15" s="61"/>
      <c r="C15" s="61"/>
      <c r="D15" s="61"/>
      <c r="E15" s="61"/>
      <c r="F15" s="25"/>
      <c r="G15" s="61"/>
      <c r="H15" s="97"/>
      <c r="I15" s="62"/>
    </row>
    <row r="16" spans="1:9" ht="12.75">
      <c r="A16" s="161"/>
      <c r="B16" s="61"/>
      <c r="C16" s="61"/>
      <c r="D16" s="61"/>
      <c r="E16" s="61"/>
      <c r="F16" s="25"/>
      <c r="G16" s="61"/>
      <c r="H16" s="97"/>
      <c r="I16" s="62"/>
    </row>
    <row r="17" spans="1:9" ht="12.75">
      <c r="A17" s="161"/>
      <c r="B17" s="61"/>
      <c r="C17" s="61"/>
      <c r="D17" s="61"/>
      <c r="E17" s="61"/>
      <c r="F17" s="25"/>
      <c r="G17" s="61"/>
      <c r="H17" s="97"/>
      <c r="I17" s="62"/>
    </row>
    <row r="18" spans="1:9" ht="12.75">
      <c r="A18" s="161"/>
      <c r="B18" s="61"/>
      <c r="C18" s="61"/>
      <c r="D18" s="61"/>
      <c r="E18" s="61"/>
      <c r="F18" s="25"/>
      <c r="G18" s="61"/>
      <c r="H18" s="97"/>
      <c r="I18" s="62"/>
    </row>
    <row r="19" spans="1:9" ht="12.75">
      <c r="A19" s="161"/>
      <c r="B19" s="61"/>
      <c r="C19" s="61"/>
      <c r="D19" s="61"/>
      <c r="E19" s="61"/>
      <c r="F19" s="25"/>
      <c r="G19" s="61"/>
      <c r="H19" s="97"/>
      <c r="I19" s="62"/>
    </row>
    <row r="20" spans="1:9" ht="12.75">
      <c r="A20" s="162"/>
      <c r="B20" s="68"/>
      <c r="C20" s="68"/>
      <c r="D20" s="77"/>
      <c r="E20" s="68"/>
      <c r="F20" s="29"/>
      <c r="G20" s="77"/>
      <c r="H20" s="163"/>
      <c r="I20" s="78"/>
    </row>
    <row r="21" spans="1:9" ht="12.75">
      <c r="A21" s="164" t="s">
        <v>266</v>
      </c>
      <c r="B21" s="165"/>
      <c r="C21" s="165"/>
      <c r="D21" s="166"/>
      <c r="E21" s="165"/>
      <c r="F21" s="167"/>
      <c r="G21" s="166"/>
      <c r="H21" s="168"/>
      <c r="I21" s="166"/>
    </row>
    <row r="22" spans="1:9" ht="12.75">
      <c r="A22" s="158"/>
      <c r="B22" s="82"/>
      <c r="C22" s="82"/>
      <c r="D22" s="59"/>
      <c r="E22" s="82"/>
      <c r="F22" s="159"/>
      <c r="G22" s="59"/>
      <c r="H22" s="160"/>
      <c r="I22" s="60"/>
    </row>
    <row r="23" spans="1:9" ht="12.75">
      <c r="A23" s="161"/>
      <c r="B23" s="61"/>
      <c r="C23" s="61"/>
      <c r="D23" s="61"/>
      <c r="E23" s="61"/>
      <c r="F23" s="25"/>
      <c r="G23" s="61"/>
      <c r="H23" s="97"/>
      <c r="I23" s="62"/>
    </row>
    <row r="24" spans="1:9" ht="12.75">
      <c r="A24" s="169"/>
      <c r="B24" s="61"/>
      <c r="C24" s="61"/>
      <c r="D24" s="61"/>
      <c r="E24" s="61"/>
      <c r="F24" s="61"/>
      <c r="G24" s="61"/>
      <c r="H24" s="86"/>
      <c r="I24" s="62"/>
    </row>
    <row r="25" spans="1:9" ht="12.75">
      <c r="A25" s="169"/>
      <c r="B25" s="61"/>
      <c r="C25" s="61"/>
      <c r="D25" s="61"/>
      <c r="E25" s="61"/>
      <c r="F25" s="61"/>
      <c r="G25" s="61"/>
      <c r="H25" s="86"/>
      <c r="I25" s="62"/>
    </row>
    <row r="26" spans="1:9" ht="12.75">
      <c r="A26" s="169"/>
      <c r="B26" s="61"/>
      <c r="C26" s="61"/>
      <c r="D26" s="61"/>
      <c r="E26" s="61"/>
      <c r="F26" s="61"/>
      <c r="G26" s="61"/>
      <c r="H26" s="86"/>
      <c r="I26" s="62"/>
    </row>
    <row r="27" spans="1:9" ht="12.75">
      <c r="A27" s="169"/>
      <c r="B27" s="61"/>
      <c r="C27" s="61"/>
      <c r="D27" s="61"/>
      <c r="E27" s="61"/>
      <c r="F27" s="61"/>
      <c r="G27" s="61"/>
      <c r="H27" s="86"/>
      <c r="I27" s="62"/>
    </row>
    <row r="28" spans="1:9" ht="12.75">
      <c r="A28" s="169"/>
      <c r="B28" s="61"/>
      <c r="C28" s="61"/>
      <c r="D28" s="61"/>
      <c r="E28" s="61"/>
      <c r="F28" s="61"/>
      <c r="G28" s="61"/>
      <c r="H28" s="86"/>
      <c r="I28" s="62"/>
    </row>
    <row r="29" spans="1:9" ht="12.75">
      <c r="A29" s="169"/>
      <c r="B29" s="61"/>
      <c r="C29" s="61"/>
      <c r="D29" s="61"/>
      <c r="E29" s="61"/>
      <c r="F29" s="61"/>
      <c r="G29" s="61"/>
      <c r="H29" s="86"/>
      <c r="I29" s="62"/>
    </row>
    <row r="30" spans="1:9" ht="12.75">
      <c r="A30" s="169"/>
      <c r="B30" s="61"/>
      <c r="C30" s="61"/>
      <c r="D30" s="61"/>
      <c r="E30" s="61"/>
      <c r="F30" s="61"/>
      <c r="G30" s="61"/>
      <c r="H30" s="86"/>
      <c r="I30" s="62"/>
    </row>
    <row r="31" spans="1:9" ht="12.75">
      <c r="A31" s="169"/>
      <c r="B31" s="61"/>
      <c r="C31" s="61"/>
      <c r="D31" s="61"/>
      <c r="E31" s="61"/>
      <c r="F31" s="61"/>
      <c r="G31" s="61"/>
      <c r="H31" s="86"/>
      <c r="I31" s="62"/>
    </row>
    <row r="32" spans="1:9" ht="12.75">
      <c r="A32" s="169"/>
      <c r="B32" s="61"/>
      <c r="C32" s="61"/>
      <c r="D32" s="61"/>
      <c r="E32" s="61"/>
      <c r="F32" s="61"/>
      <c r="G32" s="61"/>
      <c r="H32" s="86"/>
      <c r="I32" s="62"/>
    </row>
    <row r="33" spans="1:9" ht="12.75">
      <c r="A33" s="169"/>
      <c r="B33" s="61"/>
      <c r="C33" s="61"/>
      <c r="D33" s="61"/>
      <c r="E33" s="61"/>
      <c r="F33" s="61"/>
      <c r="G33" s="61"/>
      <c r="H33" s="86"/>
      <c r="I33" s="62"/>
    </row>
    <row r="34" spans="1:9" ht="12.75">
      <c r="A34" s="169"/>
      <c r="B34" s="61"/>
      <c r="C34" s="61"/>
      <c r="D34" s="61"/>
      <c r="E34" s="61"/>
      <c r="F34" s="61"/>
      <c r="G34" s="61"/>
      <c r="H34" s="86"/>
      <c r="I34" s="62"/>
    </row>
    <row r="35" spans="1:9" ht="12.75">
      <c r="A35" s="169"/>
      <c r="B35" s="61"/>
      <c r="C35" s="61"/>
      <c r="D35" s="61"/>
      <c r="E35" s="61"/>
      <c r="F35" s="25"/>
      <c r="G35" s="61"/>
      <c r="H35" s="97"/>
      <c r="I35" s="62"/>
    </row>
    <row r="36" spans="1:9" ht="12.75">
      <c r="A36" s="169"/>
      <c r="B36" s="61"/>
      <c r="C36" s="61"/>
      <c r="D36" s="61"/>
      <c r="E36" s="61"/>
      <c r="F36" s="61"/>
      <c r="G36" s="61"/>
      <c r="H36" s="86"/>
      <c r="I36" s="62"/>
    </row>
    <row r="37" spans="1:9" ht="12.75">
      <c r="A37" s="169"/>
      <c r="B37" s="61"/>
      <c r="C37" s="61"/>
      <c r="D37" s="61"/>
      <c r="E37" s="61"/>
      <c r="F37" s="25"/>
      <c r="G37" s="61"/>
      <c r="H37" s="97"/>
      <c r="I37" s="62"/>
    </row>
    <row r="38" spans="1:9" ht="12.75">
      <c r="A38" s="169"/>
      <c r="B38" s="61"/>
      <c r="C38" s="61"/>
      <c r="D38" s="61"/>
      <c r="E38" s="61"/>
      <c r="F38" s="61"/>
      <c r="G38" s="61"/>
      <c r="H38" s="86"/>
      <c r="I38" s="62"/>
    </row>
    <row r="39" spans="1:9" ht="12.75">
      <c r="A39" s="169"/>
      <c r="B39" s="61"/>
      <c r="C39" s="61"/>
      <c r="D39" s="61"/>
      <c r="E39" s="61"/>
      <c r="F39" s="25"/>
      <c r="G39" s="61"/>
      <c r="H39" s="97"/>
      <c r="I39" s="62"/>
    </row>
    <row r="40" spans="1:9" ht="12.75">
      <c r="A40" s="169"/>
      <c r="B40" s="61"/>
      <c r="C40" s="61"/>
      <c r="D40" s="61"/>
      <c r="E40" s="61"/>
      <c r="F40" s="61"/>
      <c r="G40" s="61"/>
      <c r="H40" s="86"/>
      <c r="I40" s="62"/>
    </row>
    <row r="41" spans="1:9" ht="12.75">
      <c r="A41" s="169"/>
      <c r="B41" s="61"/>
      <c r="C41" s="61"/>
      <c r="D41" s="61"/>
      <c r="E41" s="61"/>
      <c r="F41" s="25"/>
      <c r="G41" s="61"/>
      <c r="H41" s="97"/>
      <c r="I41" s="62"/>
    </row>
    <row r="42" spans="1:9" ht="12.75">
      <c r="A42" s="169"/>
      <c r="B42" s="61"/>
      <c r="C42" s="61"/>
      <c r="D42" s="61"/>
      <c r="E42" s="61"/>
      <c r="F42" s="61"/>
      <c r="G42" s="61"/>
      <c r="H42" s="86"/>
      <c r="I42" s="62"/>
    </row>
    <row r="43" spans="1:9" ht="12.75">
      <c r="A43" s="169"/>
      <c r="B43" s="61"/>
      <c r="C43" s="61"/>
      <c r="D43" s="61"/>
      <c r="E43" s="61"/>
      <c r="F43" s="25"/>
      <c r="G43" s="61"/>
      <c r="H43" s="97"/>
      <c r="I43" s="62"/>
    </row>
    <row r="44" spans="1:9" ht="12.75">
      <c r="A44" s="169"/>
      <c r="B44" s="61"/>
      <c r="C44" s="61"/>
      <c r="D44" s="61"/>
      <c r="E44" s="61"/>
      <c r="F44" s="61"/>
      <c r="G44" s="61"/>
      <c r="H44" s="86"/>
      <c r="I44" s="62"/>
    </row>
    <row r="45" spans="1:9" ht="12.75">
      <c r="A45" s="169"/>
      <c r="B45" s="61"/>
      <c r="C45" s="61"/>
      <c r="D45" s="61"/>
      <c r="E45" s="61"/>
      <c r="F45" s="25"/>
      <c r="G45" s="61"/>
      <c r="H45" s="97"/>
      <c r="I45" s="62"/>
    </row>
    <row r="46" spans="1:9" ht="12.75">
      <c r="A46" s="169"/>
      <c r="B46" s="61"/>
      <c r="C46" s="61"/>
      <c r="D46" s="61"/>
      <c r="E46" s="61"/>
      <c r="F46" s="61"/>
      <c r="G46" s="61"/>
      <c r="H46" s="86"/>
      <c r="I46" s="62"/>
    </row>
    <row r="47" spans="1:9" ht="12.75">
      <c r="A47" s="169"/>
      <c r="B47" s="61"/>
      <c r="C47" s="61"/>
      <c r="D47" s="61"/>
      <c r="E47" s="61"/>
      <c r="F47" s="25"/>
      <c r="G47" s="61"/>
      <c r="H47" s="97"/>
      <c r="I47" s="62"/>
    </row>
    <row r="48" spans="1:9" ht="12.75">
      <c r="A48" s="169"/>
      <c r="B48" s="61"/>
      <c r="C48" s="61"/>
      <c r="D48" s="61"/>
      <c r="E48" s="61"/>
      <c r="F48" s="61"/>
      <c r="G48" s="61"/>
      <c r="H48" s="86"/>
      <c r="I48" s="62"/>
    </row>
    <row r="49" spans="1:9" ht="12.75">
      <c r="A49" s="169"/>
      <c r="B49" s="61"/>
      <c r="C49" s="61"/>
      <c r="D49" s="61"/>
      <c r="E49" s="61"/>
      <c r="F49" s="25"/>
      <c r="G49" s="61"/>
      <c r="H49" s="97"/>
      <c r="I49" s="62"/>
    </row>
    <row r="50" spans="1:9" ht="12.75">
      <c r="A50" s="169"/>
      <c r="B50" s="61"/>
      <c r="C50" s="61"/>
      <c r="D50" s="61"/>
      <c r="E50" s="61"/>
      <c r="F50" s="61"/>
      <c r="G50" s="61"/>
      <c r="H50" s="86"/>
      <c r="I50" s="62"/>
    </row>
    <row r="51" spans="1:9" ht="12.75">
      <c r="A51" s="169"/>
      <c r="B51" s="61"/>
      <c r="C51" s="61"/>
      <c r="D51" s="61"/>
      <c r="E51" s="61"/>
      <c r="F51" s="25"/>
      <c r="G51" s="61"/>
      <c r="H51" s="97"/>
      <c r="I51" s="62"/>
    </row>
    <row r="52" spans="1:9" ht="12.75">
      <c r="A52" s="169"/>
      <c r="B52" s="61"/>
      <c r="C52" s="61"/>
      <c r="D52" s="61"/>
      <c r="E52" s="61"/>
      <c r="F52" s="61"/>
      <c r="G52" s="61"/>
      <c r="H52" s="86"/>
      <c r="I52" s="62"/>
    </row>
    <row r="53" spans="1:9" ht="12.75">
      <c r="A53" s="161"/>
      <c r="B53" s="61"/>
      <c r="C53" s="61"/>
      <c r="D53" s="61"/>
      <c r="E53" s="61"/>
      <c r="F53" s="25"/>
      <c r="G53" s="61"/>
      <c r="H53" s="97"/>
      <c r="I53" s="62"/>
    </row>
    <row r="54" spans="1:9" ht="12.75">
      <c r="A54" s="81" t="s">
        <v>267</v>
      </c>
      <c r="B54" s="145"/>
      <c r="C54" s="145"/>
      <c r="D54" s="145"/>
      <c r="E54" s="145"/>
      <c r="F54" s="170"/>
      <c r="G54" s="145"/>
      <c r="H54" s="171"/>
      <c r="I54" s="172"/>
    </row>
  </sheetData>
  <sheetProtection selectLockedCells="1" selectUnlockedCells="1"/>
  <mergeCells count="3">
    <mergeCell ref="B3:C3"/>
    <mergeCell ref="D3:E3"/>
    <mergeCell ref="F3:G3"/>
  </mergeCells>
  <printOptions/>
  <pageMargins left="0.25972222222222224" right="0.4597222222222222" top="0.42986111111111114" bottom="1" header="0.5118055555555555" footer="0.5118055555555555"/>
  <pageSetup fitToHeight="4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C1">
      <selection activeCell="F1" sqref="F1"/>
    </sheetView>
  </sheetViews>
  <sheetFormatPr defaultColWidth="11.421875" defaultRowHeight="12.75"/>
  <cols>
    <col min="1" max="1" width="32.140625" style="173" customWidth="1"/>
    <col min="2" max="7" width="14.00390625" style="173" customWidth="1"/>
    <col min="8" max="8" width="17.421875" style="173" customWidth="1"/>
    <col min="9" max="16384" width="11.421875" style="173" customWidth="1"/>
  </cols>
  <sheetData>
    <row r="1" spans="1:6" ht="12.75">
      <c r="A1" s="1" t="s">
        <v>0</v>
      </c>
      <c r="B1"/>
      <c r="C1"/>
      <c r="D1"/>
      <c r="E1" s="141"/>
      <c r="F1" s="2" t="str">
        <f>InfoInicial!E1</f>
        <v>FIDEOS</v>
      </c>
    </row>
    <row r="2" spans="1:7" ht="15.75">
      <c r="A2" s="174" t="s">
        <v>268</v>
      </c>
      <c r="B2" s="175"/>
      <c r="C2" s="175"/>
      <c r="D2" s="175"/>
      <c r="E2" s="175"/>
      <c r="F2" s="175"/>
      <c r="G2" s="176"/>
    </row>
    <row r="3" spans="1:7" ht="12.75">
      <c r="A3" s="177" t="s">
        <v>87</v>
      </c>
      <c r="B3" s="178" t="s">
        <v>47</v>
      </c>
      <c r="C3" s="178" t="s">
        <v>88</v>
      </c>
      <c r="D3" s="178" t="s">
        <v>89</v>
      </c>
      <c r="E3" s="178" t="s">
        <v>90</v>
      </c>
      <c r="F3" s="179" t="s">
        <v>91</v>
      </c>
      <c r="G3" s="180" t="s">
        <v>190</v>
      </c>
    </row>
    <row r="4" spans="1:7" ht="12.75">
      <c r="A4" s="173" t="s">
        <v>269</v>
      </c>
      <c r="B4" s="61"/>
      <c r="C4" s="61"/>
      <c r="D4" s="61"/>
      <c r="E4" s="61"/>
      <c r="F4" s="113"/>
      <c r="G4" s="62"/>
    </row>
    <row r="5" spans="1:7" ht="12.75">
      <c r="A5" s="173" t="s">
        <v>270</v>
      </c>
      <c r="B5" s="61"/>
      <c r="C5" s="61"/>
      <c r="D5" s="61"/>
      <c r="E5" s="61"/>
      <c r="F5" s="113"/>
      <c r="G5" s="62"/>
    </row>
    <row r="6" spans="1:7" ht="12.75">
      <c r="A6" s="173" t="s">
        <v>271</v>
      </c>
      <c r="B6" s="61"/>
      <c r="C6" s="61"/>
      <c r="D6" s="61"/>
      <c r="E6" s="61"/>
      <c r="F6" s="113"/>
      <c r="G6" s="62"/>
    </row>
    <row r="7" spans="1:7" ht="12.75">
      <c r="A7" s="173" t="s">
        <v>113</v>
      </c>
      <c r="B7" s="84"/>
      <c r="C7" s="84"/>
      <c r="D7" s="84"/>
      <c r="E7" s="84"/>
      <c r="F7" s="114"/>
      <c r="G7" s="85"/>
    </row>
    <row r="8" spans="1:7" ht="12.75">
      <c r="A8" s="173" t="s">
        <v>272</v>
      </c>
      <c r="B8" s="61"/>
      <c r="C8" s="61"/>
      <c r="D8" s="61"/>
      <c r="E8" s="61"/>
      <c r="F8" s="113"/>
      <c r="G8" s="62"/>
    </row>
    <row r="9" spans="1:7" ht="12.75">
      <c r="A9" s="173" t="s">
        <v>273</v>
      </c>
      <c r="B9" s="61"/>
      <c r="C9" s="61"/>
      <c r="D9" s="61"/>
      <c r="E9" s="61"/>
      <c r="F9" s="113"/>
      <c r="G9" s="62"/>
    </row>
    <row r="10" spans="1:7" ht="12.75">
      <c r="A10" s="173" t="s">
        <v>274</v>
      </c>
      <c r="B10" s="61"/>
      <c r="C10" s="61"/>
      <c r="D10" s="61"/>
      <c r="E10" s="61"/>
      <c r="F10" s="113"/>
      <c r="G10" s="62"/>
    </row>
    <row r="11" spans="1:7" ht="12.75">
      <c r="A11" s="181" t="s">
        <v>275</v>
      </c>
      <c r="B11" s="61"/>
      <c r="C11" s="61"/>
      <c r="D11" s="61"/>
      <c r="E11" s="61"/>
      <c r="F11" s="113"/>
      <c r="G11" s="62"/>
    </row>
    <row r="12" spans="1:7" ht="12.75">
      <c r="A12" s="173" t="s">
        <v>276</v>
      </c>
      <c r="B12" s="61"/>
      <c r="C12" s="61"/>
      <c r="D12" s="61"/>
      <c r="E12" s="61"/>
      <c r="F12" s="113"/>
      <c r="G12" s="62"/>
    </row>
    <row r="13" spans="1:7" ht="12.75">
      <c r="A13" s="182" t="s">
        <v>277</v>
      </c>
      <c r="B13" s="61"/>
      <c r="C13" s="61"/>
      <c r="D13" s="61"/>
      <c r="E13" s="61"/>
      <c r="F13" s="113"/>
      <c r="G13" s="62"/>
    </row>
    <row r="14" spans="1:7" ht="12.75">
      <c r="A14" s="183" t="s">
        <v>278</v>
      </c>
      <c r="B14" s="68"/>
      <c r="C14" s="68"/>
      <c r="D14" s="68"/>
      <c r="E14" s="68"/>
      <c r="F14" s="115"/>
      <c r="G14" s="69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Bircher</dc:creator>
  <cp:keywords/>
  <dc:description/>
  <cp:lastModifiedBy>Diego Delta Blues</cp:lastModifiedBy>
  <dcterms:created xsi:type="dcterms:W3CDTF">2016-10-15T21:08:22Z</dcterms:created>
  <dcterms:modified xsi:type="dcterms:W3CDTF">2016-10-20T00:08:42Z</dcterms:modified>
  <cp:category/>
  <cp:version/>
  <cp:contentType/>
  <cp:contentStatus/>
</cp:coreProperties>
</file>