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5480" windowHeight="3150" activeTab="7"/>
  </bookViews>
  <sheets>
    <sheet name="Produccion" sheetId="7" r:id="rId1"/>
    <sheet name="Horas Hombre" sheetId="10" r:id="rId2"/>
    <sheet name="Cuello de Botella" sheetId="8" r:id="rId3"/>
    <sheet name="Volumen de Produccion" sheetId="13" r:id="rId4"/>
    <sheet name="Stock Prom - Evolucion de Venta" sheetId="12" r:id="rId5"/>
    <sheet name="MP - MeCySE" sheetId="14" r:id="rId6"/>
    <sheet name="Evolucion de Mercaderia" sheetId="15" r:id="rId7"/>
    <sheet name="Maquinas Especificaciones" sheetId="9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D16" i="7"/>
  <c r="D17"/>
  <c r="H18" i="9" l="1"/>
  <c r="P10"/>
  <c r="P9"/>
  <c r="H17" s="1"/>
  <c r="J8"/>
  <c r="J7"/>
  <c r="P7" s="1"/>
  <c r="H16" s="1"/>
  <c r="H2"/>
  <c r="L13" i="15"/>
  <c r="F12" s="1"/>
  <c r="F12" i="13"/>
  <c r="F14" i="14"/>
  <c r="F14" i="13"/>
  <c r="F13"/>
  <c r="C5"/>
  <c r="L3" i="12" s="1"/>
  <c r="E19" s="1"/>
  <c r="G49" i="15" s="1"/>
  <c r="P8" i="9" l="1"/>
  <c r="H19" s="1"/>
  <c r="E8" i="13"/>
  <c r="E19" s="1"/>
  <c r="C6" i="12"/>
  <c r="F8" s="1"/>
  <c r="E21" i="13"/>
  <c r="G14"/>
  <c r="H14" s="1"/>
  <c r="G13" l="1"/>
  <c r="H13" s="1"/>
  <c r="G50" i="15"/>
  <c r="F50"/>
  <c r="G47" i="14"/>
  <c r="G48"/>
  <c r="G51" i="15"/>
  <c r="G12" i="13"/>
  <c r="H12" s="1"/>
  <c r="H24" i="14"/>
  <c r="C1" i="8"/>
  <c r="H15" i="13" l="1"/>
  <c r="H23" i="14" s="1"/>
  <c r="E55" i="15" s="1"/>
  <c r="H25" i="14"/>
  <c r="G43" s="1"/>
  <c r="G49"/>
  <c r="G52" i="15" s="1"/>
  <c r="D7"/>
  <c r="G5" s="1"/>
  <c r="G54"/>
  <c r="C9" i="7"/>
  <c r="C11"/>
  <c r="E20" i="13" l="1"/>
  <c r="F51" i="15" s="1"/>
  <c r="E56"/>
  <c r="G20"/>
  <c r="G23"/>
  <c r="G14"/>
  <c r="G15" s="1"/>
  <c r="G17"/>
  <c r="G22"/>
  <c r="E12"/>
  <c r="E13" s="1"/>
  <c r="H13" s="1"/>
  <c r="F13" s="1"/>
  <c r="G21"/>
  <c r="G19"/>
  <c r="G13"/>
  <c r="G16"/>
  <c r="G12"/>
  <c r="G18"/>
  <c r="H27" i="14"/>
  <c r="H29" s="1"/>
  <c r="F52" i="15" s="1"/>
  <c r="E16" i="12"/>
  <c r="F49" i="15" s="1"/>
  <c r="E12" i="7"/>
  <c r="E14" i="15" l="1"/>
  <c r="C24" i="10"/>
  <c r="D16"/>
  <c r="D15"/>
  <c r="E7"/>
  <c r="E6"/>
  <c r="D14" s="1"/>
  <c r="D17" s="1"/>
  <c r="F8" i="8"/>
  <c r="F6"/>
  <c r="B19" i="10" l="1"/>
  <c r="C26"/>
  <c r="H14" i="15"/>
  <c r="F14" s="1"/>
  <c r="E15" s="1"/>
  <c r="H15" s="1"/>
  <c r="F15" s="1"/>
  <c r="E16" s="1"/>
  <c r="H16" s="1"/>
  <c r="F16" s="1"/>
  <c r="E17" s="1"/>
  <c r="F7" i="8"/>
  <c r="F9"/>
  <c r="D12" i="7"/>
  <c r="H17" i="15" l="1"/>
  <c r="F17" s="1"/>
  <c r="E18" s="1"/>
  <c r="H18" s="1"/>
  <c r="F18" s="1"/>
  <c r="E19" s="1"/>
  <c r="C4" i="14"/>
  <c r="B28" i="10"/>
  <c r="D9" i="8"/>
  <c r="E9" s="1"/>
  <c r="G9" s="1"/>
  <c r="G17" i="14" l="1"/>
  <c r="I33"/>
  <c r="E34" s="1"/>
  <c r="F36" s="1"/>
  <c r="F40" s="1"/>
  <c r="H19" i="15"/>
  <c r="F19" s="1"/>
  <c r="E20" s="1"/>
  <c r="D20" i="8"/>
  <c r="D8"/>
  <c r="E8" s="1"/>
  <c r="D7"/>
  <c r="E7" s="1"/>
  <c r="D6"/>
  <c r="E6" s="1"/>
  <c r="G6" s="1"/>
  <c r="D17" s="1"/>
  <c r="E11" i="7"/>
  <c r="H20" i="15" l="1"/>
  <c r="F20" s="1"/>
  <c r="E21" s="1"/>
  <c r="G7" i="8"/>
  <c r="D18" s="1"/>
  <c r="G8"/>
  <c r="D19" s="1"/>
  <c r="C12" i="7"/>
  <c r="H21" i="15" l="1"/>
  <c r="F21" s="1"/>
  <c r="E22" s="1"/>
  <c r="B11" i="7"/>
  <c r="C20" i="8" s="1"/>
  <c r="H22" i="15" l="1"/>
  <c r="F22" s="1"/>
  <c r="E23" s="1"/>
  <c r="E10" i="7"/>
  <c r="B10" s="1"/>
  <c r="E20" i="8"/>
  <c r="F20" s="1"/>
  <c r="G20" s="1"/>
  <c r="A20" s="1"/>
  <c r="H23" i="15" l="1"/>
  <c r="F23" s="1"/>
  <c r="G56" s="1"/>
  <c r="F25"/>
  <c r="E9" i="7"/>
  <c r="B9" s="1"/>
  <c r="C19" i="8"/>
  <c r="E19" s="1"/>
  <c r="F19" s="1"/>
  <c r="G19" s="1"/>
  <c r="A19" s="1"/>
  <c r="I25" i="15" l="1"/>
  <c r="G55"/>
  <c r="F55"/>
  <c r="E8" i="7"/>
  <c r="B8" s="1"/>
  <c r="C18" i="8"/>
  <c r="E18" s="1"/>
  <c r="F18" s="1"/>
  <c r="G18" s="1"/>
  <c r="A18" s="1"/>
  <c r="G44" i="14" l="1"/>
  <c r="B12" i="7"/>
  <c r="D14" s="1"/>
  <c r="C17" i="8"/>
  <c r="E17" s="1"/>
  <c r="F17" s="1"/>
  <c r="G17" s="1"/>
  <c r="A17" s="1"/>
  <c r="C26" s="1"/>
  <c r="G45" i="14" l="1"/>
  <c r="F54" i="15" s="1"/>
  <c r="F56" s="1"/>
  <c r="G53"/>
  <c r="F53"/>
  <c r="F35" i="14"/>
  <c r="G37" s="1"/>
  <c r="D15" i="7"/>
  <c r="C25" i="8"/>
</calcChain>
</file>

<file path=xl/sharedStrings.xml><?xml version="1.0" encoding="utf-8"?>
<sst xmlns="http://schemas.openxmlformats.org/spreadsheetml/2006/main" count="343" uniqueCount="215">
  <si>
    <t>Producción en estado de régimen</t>
  </si>
  <si>
    <t>unidades anuales</t>
  </si>
  <si>
    <t>kg</t>
  </si>
  <si>
    <t>unidades</t>
  </si>
  <si>
    <t>Desperdicios</t>
  </si>
  <si>
    <t>Recuperables</t>
  </si>
  <si>
    <t>No Recuperables</t>
  </si>
  <si>
    <t>Inyección</t>
  </si>
  <si>
    <t>Impresión</t>
  </si>
  <si>
    <t>-</t>
  </si>
  <si>
    <t>Inserto estanqueidad</t>
  </si>
  <si>
    <t>Troquel</t>
  </si>
  <si>
    <t>Alimentación</t>
  </si>
  <si>
    <t>Producción
por área</t>
  </si>
  <si>
    <t>Peso de una tapa plástica</t>
  </si>
  <si>
    <t>kgs</t>
  </si>
  <si>
    <t>Inyección-Troquel</t>
  </si>
  <si>
    <t>kilogramos/año</t>
  </si>
  <si>
    <t xml:space="preserve">Total </t>
  </si>
  <si>
    <t>Volumen ingresado para la producción anual</t>
  </si>
  <si>
    <t>kilos</t>
  </si>
  <si>
    <t>Consumo real de MP</t>
  </si>
  <si>
    <t>Porcentaje de desperdicio operativo</t>
  </si>
  <si>
    <t>%</t>
  </si>
  <si>
    <t>Porcentaje de desperdicio real</t>
  </si>
  <si>
    <t>Inyectora</t>
  </si>
  <si>
    <t>Capacidad</t>
  </si>
  <si>
    <t>unidades/hora</t>
  </si>
  <si>
    <t>segundos</t>
  </si>
  <si>
    <t>Guarnicionadora</t>
  </si>
  <si>
    <t>días</t>
  </si>
  <si>
    <t>Mañana</t>
  </si>
  <si>
    <t>Tarde</t>
  </si>
  <si>
    <t>Noche</t>
  </si>
  <si>
    <t>hs</t>
  </si>
  <si>
    <t>Desperdicios anual (UNIDADES)</t>
  </si>
  <si>
    <t>Horas laborales en un año</t>
  </si>
  <si>
    <t>Hs activas 
x año</t>
  </si>
  <si>
    <t>Capacidad 
teorica anual</t>
  </si>
  <si>
    <t>Secciones Operativas</t>
  </si>
  <si>
    <t>Capacidad teórica
(unidades x hora)</t>
  </si>
  <si>
    <t>Programa Anual
 de Producción</t>
  </si>
  <si>
    <t>Cantidad Máq. 
Necesarias</t>
  </si>
  <si>
    <t>Aprovechamiento 
seccional (%)</t>
  </si>
  <si>
    <t>Capacidad real
(unidades x año)</t>
  </si>
  <si>
    <t>Capacidad real
(kilos x año)</t>
  </si>
  <si>
    <t>Capacidad real 
sección x año</t>
  </si>
  <si>
    <t>CUELLO DE BOTELLA</t>
  </si>
  <si>
    <t>Capacidad real del cuello de botella</t>
  </si>
  <si>
    <t>kilos por año</t>
  </si>
  <si>
    <t>Especificaciones técnicas de la máquina</t>
  </si>
  <si>
    <t>Troqueladora</t>
  </si>
  <si>
    <t>Impresora</t>
  </si>
  <si>
    <t>Guarnición</t>
  </si>
  <si>
    <t>Capacidad de Producción</t>
  </si>
  <si>
    <t>Potencia eléctrica instalada</t>
  </si>
  <si>
    <t>kW (50Hz)</t>
  </si>
  <si>
    <t>Potencia absorbida eléctrica</t>
  </si>
  <si>
    <t xml:space="preserve">kW </t>
  </si>
  <si>
    <t>Consumo aire comprimido</t>
  </si>
  <si>
    <t>N/min</t>
  </si>
  <si>
    <t>15.000-20.000</t>
  </si>
  <si>
    <t>Moldes</t>
  </si>
  <si>
    <t>Cavidades</t>
  </si>
  <si>
    <t>Mpa</t>
  </si>
  <si>
    <t>kW</t>
  </si>
  <si>
    <t>Potencia de calentador</t>
  </si>
  <si>
    <t>Presión máx. de bomba</t>
  </si>
  <si>
    <t>Potencia de motor de bomba</t>
  </si>
  <si>
    <t>Potencia</t>
  </si>
  <si>
    <t>150-200</t>
  </si>
  <si>
    <t>Molino</t>
  </si>
  <si>
    <t>kg/hora</t>
  </si>
  <si>
    <t>Compresor</t>
  </si>
  <si>
    <t>Velocidad</t>
  </si>
  <si>
    <t>rpm</t>
  </si>
  <si>
    <t>Presión</t>
  </si>
  <si>
    <t>bar</t>
  </si>
  <si>
    <t>lts/min</t>
  </si>
  <si>
    <t>Caudal</t>
  </si>
  <si>
    <t>lts</t>
  </si>
  <si>
    <t>Calderín</t>
  </si>
  <si>
    <t>Tiempo de moldeo (ciclo)</t>
  </si>
  <si>
    <t>Paradas</t>
  </si>
  <si>
    <t>por semana</t>
  </si>
  <si>
    <t>por día</t>
  </si>
  <si>
    <t>Duración</t>
  </si>
  <si>
    <t>por año</t>
  </si>
  <si>
    <t>Rendimientos</t>
  </si>
  <si>
    <t>semanas</t>
  </si>
  <si>
    <t>Total por año</t>
  </si>
  <si>
    <t>Rendimiento
operativo</t>
  </si>
  <si>
    <t>Días laborables año calendario</t>
  </si>
  <si>
    <t>Lunes a Sábado</t>
  </si>
  <si>
    <t>turnos</t>
  </si>
  <si>
    <t>Duración de los turnos</t>
  </si>
  <si>
    <t>Sábados</t>
  </si>
  <si>
    <t>Lunes</t>
  </si>
  <si>
    <t>Martes-Viernes</t>
  </si>
  <si>
    <t>Horas establecidas por día</t>
  </si>
  <si>
    <t>Lunes -Viernes</t>
  </si>
  <si>
    <t>Cantidad de días por año</t>
  </si>
  <si>
    <t>Cantidad de horas por año</t>
  </si>
  <si>
    <t>Preparación y mantenimiento máquinas:</t>
  </si>
  <si>
    <t>Día</t>
  </si>
  <si>
    <t>Turnos laborales</t>
  </si>
  <si>
    <t>Paradas establecidas en un año</t>
  </si>
  <si>
    <t>Horas reales de producción</t>
  </si>
  <si>
    <t>Año 1</t>
  </si>
  <si>
    <t>Horas activas laborales al año</t>
  </si>
  <si>
    <t>3 operarios por turno</t>
  </si>
  <si>
    <t>Horas anuales trabajadas por cada operario</t>
  </si>
  <si>
    <t>Producción anual:</t>
  </si>
  <si>
    <t>Volúmen de producción mensual en estado de régimen (promedio):</t>
  </si>
  <si>
    <t>Mes</t>
  </si>
  <si>
    <t>Ritmo de producción al inicio (%)</t>
  </si>
  <si>
    <t>Ritmo de producción al final(%)</t>
  </si>
  <si>
    <t>Producción Promedio(%)</t>
  </si>
  <si>
    <t>Producción mensual promedio (kg)</t>
  </si>
  <si>
    <t>Producción propuesta(KG)</t>
  </si>
  <si>
    <t xml:space="preserve">total= </t>
  </si>
  <si>
    <t>Semanas/año:</t>
  </si>
  <si>
    <t>(No se consideran vacaciones)</t>
  </si>
  <si>
    <t>kg/semana</t>
  </si>
  <si>
    <t xml:space="preserve">Stock promedio del elaborado: </t>
  </si>
  <si>
    <t>Volúmen de producción semanal promedio, en estado de régimen:</t>
  </si>
  <si>
    <t>Volúmen de producción en el año 1:</t>
  </si>
  <si>
    <t xml:space="preserve">Este stock se forma en el período de puesta en marcha, y se mantedrá cte., aunque permanentemente renovado. </t>
  </si>
  <si>
    <t>Si la empresa estuviera en marcha se hará referencia al volumen del stock para las fechas de cierre de balance.</t>
  </si>
  <si>
    <t>Volúmen de producción durante el resto del año 1: 12 meses - 3 meses</t>
  </si>
  <si>
    <r>
      <t>Tiempo de entrada en Regimen:</t>
    </r>
    <r>
      <rPr>
        <b/>
        <sz val="11"/>
        <color theme="1"/>
        <rFont val="Calibri"/>
        <family val="2"/>
        <scheme val="minor"/>
      </rPr>
      <t xml:space="preserve"> 3 meses</t>
    </r>
  </si>
  <si>
    <t>Se ha restado de la producción del año el stock promedio de producto elaborado.</t>
  </si>
  <si>
    <t>Es la producción anual y no corresponde restar el stock de producto elaborado pues ya se descontó en el Año 1.</t>
  </si>
  <si>
    <t>DETERMINACIÓN STOCK PROMEDIO DE PRODUCTO ELABORADO</t>
  </si>
  <si>
    <t>DETERMINACIÓN DE LA EVOLUCION DE LAS VENTAS DURANTE LA VIDA UTIL DEL PROYECTO</t>
  </si>
  <si>
    <t>DETERMINACIÓN DE LA EVOLUCION DE LA PRODUCCION</t>
  </si>
  <si>
    <t>DETERMINAR ELCONSUMO DE MATERIA PRIMA PARA EL PROGRAMA DE PRODUCCION Y FORMACION DE LA MERCADERIA EN CURSO Y SEMIELABORADA</t>
  </si>
  <si>
    <t>En los primeros 3 meses (puesta en marcha)</t>
  </si>
  <si>
    <t>En el resto de los 9 meses</t>
  </si>
  <si>
    <t>Volúmen de la producción durante el período de puesta en marcha:</t>
  </si>
  <si>
    <t>Volúmen de producción anual en los años 1:</t>
  </si>
  <si>
    <t>Desperdicio no recuperable por la producción realizada</t>
  </si>
  <si>
    <t>Total materia prima para la producción</t>
  </si>
  <si>
    <t>Consumo de materia prima en la mercadería en proceso:</t>
  </si>
  <si>
    <t>Volúmen de materia prima requerido:</t>
  </si>
  <si>
    <t xml:space="preserve">Consumo de materia prima para realizar la producción del año: </t>
  </si>
  <si>
    <t>Tomamos como desperdicios en la Puesta en Marcha el 2%, ya que es practicamente todo reutilizable.</t>
  </si>
  <si>
    <t>La Impresora es el cuello de botella en la línea de producción. La cual definirá la cantidad de ciclos.</t>
  </si>
  <si>
    <t>En cada ciclo se producen 4 unidades por ya que la impresora cuenta con 4 cavidades.</t>
  </si>
  <si>
    <t xml:space="preserve">Tiempo de ciclo: </t>
  </si>
  <si>
    <t>Cantidad de ciclos en el año:</t>
  </si>
  <si>
    <t>ciclos</t>
  </si>
  <si>
    <t>la alimentación del proceso durante el ciclo de elaboración (4 segundos) es:</t>
  </si>
  <si>
    <t>(incluye tanto los desperdicios no recuperables como los recuperables)</t>
  </si>
  <si>
    <t>Producto elaborado:</t>
  </si>
  <si>
    <t xml:space="preserve">Desperdicio no recuperable: </t>
  </si>
  <si>
    <t xml:space="preserve">Desperdicio recuperable a reciclar: </t>
  </si>
  <si>
    <t>total de materia prima en mercadería en curso y semielaborada:</t>
  </si>
  <si>
    <t>Asimismo, se comprueba a través de los desperdicios recuperables los ciclos de elaboración anuales.</t>
  </si>
  <si>
    <t>Consumo total de materia prima en el año 1:</t>
  </si>
  <si>
    <t>Para los productos elaborados:</t>
  </si>
  <si>
    <t>Para la mercadería en curso y semielaborada:</t>
  </si>
  <si>
    <t>Total consumo de materia prima en el año 1:</t>
  </si>
  <si>
    <t>Volúmen de producción anual en los años 2 al 5:</t>
  </si>
  <si>
    <t>Año 2 al 5: El consumo de materia prima es exclusivamente destinado a la producción:</t>
  </si>
  <si>
    <t xml:space="preserve">Producción anual: </t>
  </si>
  <si>
    <t>Desperdicios no recuperables:</t>
  </si>
  <si>
    <t>Suponemos una Puesta en Marcha con ritmo de producción lineal durante los primeros tres meses</t>
  </si>
  <si>
    <t>Compra</t>
  </si>
  <si>
    <t>Al fin de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</si>
  <si>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</si>
  <si>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</si>
  <si>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</si>
  <si>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</si>
  <si>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</si>
  <si>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</si>
  <si>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</si>
  <si>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</si>
  <si>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</si>
  <si>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</si>
  <si>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</si>
  <si>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</si>
  <si>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Nuestro proveedor nos provee con pallets de 55 bolsas con 25 kg virgenes de polipropileno.Son entregados en los típicos pelets sin colorear o como se suele decir, color natural. </t>
  </si>
  <si>
    <t>Stock(kg)</t>
  </si>
  <si>
    <t xml:space="preserve">Consumo de stock promedio por mes: </t>
  </si>
  <si>
    <t>Consume</t>
  </si>
  <si>
    <t>kg entregados por pallet:</t>
  </si>
  <si>
    <t>Nuestra política de abastecimiento es la de mantener un stock de materia prima de por de dos meses:</t>
  </si>
  <si>
    <t>Variación del stock de materia prima durante el año y programa de compras:</t>
  </si>
  <si>
    <t>Stock promedio:</t>
  </si>
  <si>
    <t>equivale a</t>
  </si>
  <si>
    <t>meses de consumo</t>
  </si>
  <si>
    <t>U. de medida</t>
  </si>
  <si>
    <t>Año 2-5</t>
  </si>
  <si>
    <t>Kg de MP</t>
  </si>
  <si>
    <t>Kg de PT</t>
  </si>
  <si>
    <t>Ventas (8 -)</t>
  </si>
  <si>
    <t>Stock promedio de elaborado (7 -)</t>
  </si>
  <si>
    <t>Producción (6 -)</t>
  </si>
  <si>
    <t>Desperdicio no recuperables (9 -)</t>
  </si>
  <si>
    <t>En curso y semielaborado (9 -)</t>
  </si>
  <si>
    <t>Consumo de materia prima (9 -)</t>
  </si>
  <si>
    <t>Stock de materia prima (10 -)</t>
  </si>
  <si>
    <t>Compra de materia prima (10 -)</t>
  </si>
  <si>
    <t>Ventas del año 1:</t>
  </si>
  <si>
    <t>Ventas de los años 2 a 5:</t>
  </si>
  <si>
    <t>Period de Inst</t>
  </si>
  <si>
    <t>En un año laborables</t>
  </si>
  <si>
    <t>Horas laborables</t>
  </si>
  <si>
    <t>Maquinaria</t>
  </si>
  <si>
    <t>Rendimiento = (Horas activas - horas imprevistas)/horas activas</t>
  </si>
  <si>
    <t>Enlainadora/Guarnicionadora</t>
  </si>
  <si>
    <t>Potencia instalada</t>
  </si>
  <si>
    <t>Suministro de aire</t>
  </si>
  <si>
    <t>Cantidad de Pallets 
a pedir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</si>
</sst>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0"/>
    <numFmt numFmtId="166" formatCode="0.0"/>
    <numFmt numFmtId="167" formatCode="#,##0.00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/>
    <xf numFmtId="0" fontId="0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/>
    <xf numFmtId="3" fontId="1" fillId="0" borderId="1" xfId="0" applyNumberFormat="1" applyFont="1" applyBorder="1"/>
    <xf numFmtId="164" fontId="0" fillId="0" borderId="0" xfId="0" applyNumberFormat="1"/>
    <xf numFmtId="4" fontId="0" fillId="0" borderId="0" xfId="0" applyNumberFormat="1"/>
    <xf numFmtId="0" fontId="0" fillId="0" borderId="2" xfId="0" applyBorder="1"/>
    <xf numFmtId="4" fontId="0" fillId="0" borderId="1" xfId="0" applyNumberFormat="1" applyBorder="1"/>
    <xf numFmtId="0" fontId="5" fillId="0" borderId="0" xfId="0" applyFont="1"/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3" fontId="1" fillId="0" borderId="0" xfId="0" applyNumberFormat="1" applyFont="1"/>
    <xf numFmtId="2" fontId="1" fillId="0" borderId="0" xfId="0" applyNumberFormat="1" applyFont="1"/>
    <xf numFmtId="165" fontId="0" fillId="0" borderId="1" xfId="0" applyNumberFormat="1" applyFill="1" applyBorder="1"/>
    <xf numFmtId="3" fontId="2" fillId="0" borderId="1" xfId="0" applyNumberFormat="1" applyFont="1" applyBorder="1"/>
    <xf numFmtId="0" fontId="0" fillId="0" borderId="1" xfId="0" applyFont="1" applyBorder="1"/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167" fontId="0" fillId="0" borderId="0" xfId="0" applyNumberFormat="1"/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4" fontId="4" fillId="0" borderId="0" xfId="0" applyNumberFormat="1" applyFont="1" applyFill="1"/>
    <xf numFmtId="3" fontId="0" fillId="0" borderId="3" xfId="0" applyNumberFormat="1" applyBorder="1"/>
    <xf numFmtId="3" fontId="0" fillId="0" borderId="2" xfId="0" applyNumberFormat="1" applyBorder="1"/>
    <xf numFmtId="3" fontId="0" fillId="0" borderId="0" xfId="0" applyNumberFormat="1" applyFill="1" applyBorder="1"/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7272138414937797E-2"/>
          <c:y val="6.0821604098354562E-2"/>
          <c:w val="0.75099224579809132"/>
          <c:h val="0.72295123166261455"/>
        </c:manualLayout>
      </c:layout>
      <c:lineChart>
        <c:grouping val="standard"/>
        <c:ser>
          <c:idx val="0"/>
          <c:order val="0"/>
          <c:tx>
            <c:v>Stock(kg)</c:v>
          </c:tx>
          <c:cat>
            <c:strRef>
              <c:f>'Evolucion de Mercaderia'!$D$12:$D$23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'Evolucion de Mercaderia'!$E$12:$E$23</c:f>
              <c:numCache>
                <c:formatCode>#,##0</c:formatCode>
                <c:ptCount val="12"/>
                <c:pt idx="0">
                  <c:v>47500</c:v>
                </c:pt>
                <c:pt idx="1">
                  <c:v>48500</c:v>
                </c:pt>
                <c:pt idx="2">
                  <c:v>48125</c:v>
                </c:pt>
                <c:pt idx="3">
                  <c:v>47750</c:v>
                </c:pt>
                <c:pt idx="4">
                  <c:v>48750</c:v>
                </c:pt>
                <c:pt idx="5">
                  <c:v>48375</c:v>
                </c:pt>
                <c:pt idx="6">
                  <c:v>48000</c:v>
                </c:pt>
                <c:pt idx="7">
                  <c:v>47625</c:v>
                </c:pt>
                <c:pt idx="8">
                  <c:v>48625</c:v>
                </c:pt>
                <c:pt idx="9">
                  <c:v>48250</c:v>
                </c:pt>
                <c:pt idx="10">
                  <c:v>47875</c:v>
                </c:pt>
                <c:pt idx="11">
                  <c:v>47500</c:v>
                </c:pt>
              </c:numCache>
            </c:numRef>
          </c:val>
        </c:ser>
        <c:ser>
          <c:idx val="1"/>
          <c:order val="1"/>
          <c:tx>
            <c:v>Compra(kg)</c:v>
          </c:tx>
          <c:cat>
            <c:strRef>
              <c:f>'Evolucion de Mercaderia'!$D$12:$D$23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'Evolucion de Mercaderia'!$F$12:$F$23</c:f>
              <c:numCache>
                <c:formatCode>#,##0</c:formatCode>
                <c:ptCount val="12"/>
                <c:pt idx="0">
                  <c:v>24750</c:v>
                </c:pt>
                <c:pt idx="1">
                  <c:v>23375</c:v>
                </c:pt>
                <c:pt idx="2">
                  <c:v>23375</c:v>
                </c:pt>
                <c:pt idx="3">
                  <c:v>24750</c:v>
                </c:pt>
                <c:pt idx="4">
                  <c:v>23375</c:v>
                </c:pt>
                <c:pt idx="5">
                  <c:v>23375</c:v>
                </c:pt>
                <c:pt idx="6">
                  <c:v>23375</c:v>
                </c:pt>
                <c:pt idx="7">
                  <c:v>24750</c:v>
                </c:pt>
                <c:pt idx="8">
                  <c:v>23375</c:v>
                </c:pt>
                <c:pt idx="9">
                  <c:v>23375</c:v>
                </c:pt>
                <c:pt idx="10">
                  <c:v>23375</c:v>
                </c:pt>
                <c:pt idx="11">
                  <c:v>24750</c:v>
                </c:pt>
              </c:numCache>
            </c:numRef>
          </c:val>
        </c:ser>
        <c:ser>
          <c:idx val="2"/>
          <c:order val="2"/>
          <c:tx>
            <c:v>Consumo(kg)</c:v>
          </c:tx>
          <c:val>
            <c:numRef>
              <c:f>'Evolucion de Mercaderia'!$G$12:$G$23</c:f>
              <c:numCache>
                <c:formatCode>#,##0</c:formatCode>
                <c:ptCount val="12"/>
                <c:pt idx="0">
                  <c:v>23750</c:v>
                </c:pt>
                <c:pt idx="1">
                  <c:v>23750</c:v>
                </c:pt>
                <c:pt idx="2">
                  <c:v>23750</c:v>
                </c:pt>
                <c:pt idx="3">
                  <c:v>23750</c:v>
                </c:pt>
                <c:pt idx="4">
                  <c:v>23750</c:v>
                </c:pt>
                <c:pt idx="5">
                  <c:v>23750</c:v>
                </c:pt>
                <c:pt idx="6">
                  <c:v>23750</c:v>
                </c:pt>
                <c:pt idx="7">
                  <c:v>23750</c:v>
                </c:pt>
                <c:pt idx="8">
                  <c:v>23750</c:v>
                </c:pt>
                <c:pt idx="9">
                  <c:v>23750</c:v>
                </c:pt>
                <c:pt idx="10">
                  <c:v>23750</c:v>
                </c:pt>
                <c:pt idx="11">
                  <c:v>23750</c:v>
                </c:pt>
              </c:numCache>
            </c:numRef>
          </c:val>
        </c:ser>
        <c:dLbls/>
        <c:marker val="1"/>
        <c:axId val="91225472"/>
        <c:axId val="52937856"/>
      </c:lineChart>
      <c:catAx>
        <c:axId val="912254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AR"/>
            </a:pPr>
            <a:endParaRPr lang="es-ES"/>
          </a:p>
        </c:txPr>
        <c:crossAx val="52937856"/>
        <c:crosses val="autoZero"/>
        <c:auto val="1"/>
        <c:lblAlgn val="ctr"/>
        <c:lblOffset val="100"/>
      </c:catAx>
      <c:valAx>
        <c:axId val="5293785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lang="es-AR"/>
            </a:pPr>
            <a:endParaRPr lang="es-ES"/>
          </a:p>
        </c:txPr>
        <c:crossAx val="9122547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AR"/>
          </a:pPr>
          <a:endParaRPr lang="es-ES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657224</xdr:colOff>
      <xdr:row>26</xdr:row>
      <xdr:rowOff>85724</xdr:rowOff>
    </xdr:from>
    <xdr:to>
      <xdr:col>11</xdr:col>
      <xdr:colOff>371474</xdr:colOff>
      <xdr:row>44</xdr:row>
      <xdr:rowOff>19049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T-%20Ejer%201-5%20-%20G-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1"/>
      <sheetName val="Ej2"/>
      <sheetName val="Ej3-4-5"/>
      <sheetName val="Maquinas Especificaciones"/>
      <sheetName val="Consumos"/>
    </sheetNames>
    <sheetDataSet>
      <sheetData sheetId="0"/>
      <sheetData sheetId="1">
        <row r="2">
          <cell r="B2">
            <v>303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15" sqref="D15"/>
    </sheetView>
  </sheetViews>
  <sheetFormatPr baseColWidth="10" defaultRowHeight="15"/>
  <cols>
    <col min="1" max="1" width="19.7109375" bestFit="1" customWidth="1"/>
    <col min="2" max="2" width="13" style="1" bestFit="1" customWidth="1"/>
    <col min="3" max="3" width="16.7109375" bestFit="1" customWidth="1"/>
    <col min="4" max="4" width="16.140625" bestFit="1" customWidth="1"/>
  </cols>
  <sheetData>
    <row r="1" spans="1:10" ht="30">
      <c r="A1" s="2" t="s">
        <v>35</v>
      </c>
      <c r="B1" s="3" t="s">
        <v>5</v>
      </c>
      <c r="C1" s="3" t="s">
        <v>6</v>
      </c>
      <c r="F1" t="s">
        <v>0</v>
      </c>
      <c r="I1" s="4">
        <v>95000000</v>
      </c>
      <c r="J1" t="s">
        <v>1</v>
      </c>
    </row>
    <row r="2" spans="1:10">
      <c r="A2" s="3" t="s">
        <v>16</v>
      </c>
      <c r="B2" s="14">
        <v>65448</v>
      </c>
      <c r="C2" s="13" t="s">
        <v>9</v>
      </c>
      <c r="F2" t="s">
        <v>14</v>
      </c>
      <c r="I2" s="5">
        <v>3.0000000000000001E-3</v>
      </c>
      <c r="J2" t="s">
        <v>15</v>
      </c>
    </row>
    <row r="3" spans="1:10">
      <c r="A3" s="3" t="s">
        <v>8</v>
      </c>
      <c r="B3" s="14">
        <v>65448</v>
      </c>
      <c r="C3" s="13" t="s">
        <v>9</v>
      </c>
    </row>
    <row r="6" spans="1:10">
      <c r="A6" s="47"/>
      <c r="B6" s="48" t="s">
        <v>12</v>
      </c>
      <c r="C6" s="48" t="s">
        <v>4</v>
      </c>
      <c r="D6" s="48"/>
      <c r="E6" s="49" t="s">
        <v>13</v>
      </c>
    </row>
    <row r="7" spans="1:10">
      <c r="A7" s="47"/>
      <c r="B7" s="48"/>
      <c r="C7" s="6" t="s">
        <v>5</v>
      </c>
      <c r="D7" s="6" t="s">
        <v>6</v>
      </c>
      <c r="E7" s="49"/>
    </row>
    <row r="8" spans="1:10">
      <c r="A8" s="7" t="s">
        <v>7</v>
      </c>
      <c r="B8" s="15">
        <f t="shared" ref="B8:B10" si="0">+SUM(C8:E8)</f>
        <v>285392.68799999997</v>
      </c>
      <c r="C8" s="15"/>
      <c r="D8" s="15"/>
      <c r="E8" s="15">
        <f>+B9</f>
        <v>285392.68799999997</v>
      </c>
    </row>
    <row r="9" spans="1:10">
      <c r="A9" s="7" t="s">
        <v>11</v>
      </c>
      <c r="B9" s="15">
        <f t="shared" si="0"/>
        <v>285392.68799999997</v>
      </c>
      <c r="C9" s="15">
        <f>+B2*I2</f>
        <v>196.34399999999999</v>
      </c>
      <c r="D9" s="15"/>
      <c r="E9" s="15">
        <f>+B10</f>
        <v>285196.34399999998</v>
      </c>
    </row>
    <row r="10" spans="1:10">
      <c r="A10" s="7" t="s">
        <v>10</v>
      </c>
      <c r="B10" s="15">
        <f t="shared" si="0"/>
        <v>285196.34399999998</v>
      </c>
      <c r="C10" s="15"/>
      <c r="D10" s="15"/>
      <c r="E10" s="15">
        <f>+B11</f>
        <v>285196.34399999998</v>
      </c>
    </row>
    <row r="11" spans="1:10">
      <c r="A11" s="7" t="s">
        <v>8</v>
      </c>
      <c r="B11" s="15">
        <f>+SUM(C11:E11)</f>
        <v>285196.34399999998</v>
      </c>
      <c r="C11" s="15">
        <f>+B3*I2</f>
        <v>196.34399999999999</v>
      </c>
      <c r="E11" s="15">
        <f>+E12</f>
        <v>285000</v>
      </c>
    </row>
    <row r="12" spans="1:10">
      <c r="A12" s="8" t="s">
        <v>18</v>
      </c>
      <c r="B12" s="16">
        <f>+B8</f>
        <v>285392.68799999997</v>
      </c>
      <c r="C12" s="16">
        <f>+SUM(C8:C11)</f>
        <v>392.68799999999999</v>
      </c>
      <c r="D12" s="16">
        <f>+SUM(D8:D11)</f>
        <v>0</v>
      </c>
      <c r="E12" s="16">
        <f>+I1*I2</f>
        <v>285000</v>
      </c>
      <c r="F12" t="s">
        <v>17</v>
      </c>
    </row>
    <row r="13" spans="1:10">
      <c r="B13" s="9"/>
      <c r="C13" s="9"/>
      <c r="D13" s="9"/>
    </row>
    <row r="14" spans="1:10">
      <c r="A14" t="s">
        <v>19</v>
      </c>
      <c r="B14"/>
      <c r="D14" s="1">
        <f>+B12</f>
        <v>285392.68799999997</v>
      </c>
      <c r="E14" t="s">
        <v>20</v>
      </c>
    </row>
    <row r="15" spans="1:10">
      <c r="A15" t="s">
        <v>21</v>
      </c>
      <c r="B15"/>
      <c r="D15" s="1">
        <f>+B12-C12</f>
        <v>284999.99999999994</v>
      </c>
      <c r="E15" t="s">
        <v>20</v>
      </c>
    </row>
    <row r="16" spans="1:10">
      <c r="A16" t="s">
        <v>22</v>
      </c>
      <c r="B16"/>
      <c r="D16" s="18">
        <f>+(SUM(C12:D12))/E12*100</f>
        <v>0.13778526315789472</v>
      </c>
      <c r="E16" t="s">
        <v>23</v>
      </c>
    </row>
    <row r="17" spans="1:5">
      <c r="A17" t="s">
        <v>24</v>
      </c>
      <c r="B17"/>
      <c r="D17" s="18">
        <f>+D12/E12*100</f>
        <v>0</v>
      </c>
      <c r="E17" t="s">
        <v>23</v>
      </c>
    </row>
  </sheetData>
  <mergeCells count="4">
    <mergeCell ref="A6:A7"/>
    <mergeCell ref="B6:B7"/>
    <mergeCell ref="C6:D6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topLeftCell="A16" workbookViewId="0">
      <selection activeCell="D19" sqref="D19"/>
    </sheetView>
  </sheetViews>
  <sheetFormatPr baseColWidth="10" defaultRowHeight="15"/>
  <cols>
    <col min="1" max="1" width="39.42578125" bestFit="1" customWidth="1"/>
    <col min="2" max="2" width="12.140625" customWidth="1"/>
    <col min="4" max="4" width="14.42578125" customWidth="1"/>
    <col min="5" max="5" width="9.7109375" customWidth="1"/>
  </cols>
  <sheetData>
    <row r="1" spans="1:6">
      <c r="A1" t="s">
        <v>92</v>
      </c>
    </row>
    <row r="2" spans="1:6">
      <c r="A2" t="s">
        <v>93</v>
      </c>
      <c r="B2">
        <v>303</v>
      </c>
      <c r="C2" t="s">
        <v>30</v>
      </c>
    </row>
    <row r="4" spans="1:6">
      <c r="A4" t="s">
        <v>105</v>
      </c>
      <c r="B4">
        <v>4</v>
      </c>
      <c r="C4" t="s">
        <v>94</v>
      </c>
    </row>
    <row r="5" spans="1:6">
      <c r="A5" t="s">
        <v>95</v>
      </c>
      <c r="D5" t="s">
        <v>99</v>
      </c>
    </row>
    <row r="6" spans="1:6">
      <c r="A6" t="s">
        <v>31</v>
      </c>
      <c r="B6">
        <v>8</v>
      </c>
      <c r="C6" t="s">
        <v>34</v>
      </c>
      <c r="D6" t="s">
        <v>100</v>
      </c>
      <c r="E6">
        <f>+SUM(B6:B8)</f>
        <v>24</v>
      </c>
      <c r="F6" t="s">
        <v>34</v>
      </c>
    </row>
    <row r="7" spans="1:6">
      <c r="A7" t="s">
        <v>32</v>
      </c>
      <c r="B7">
        <v>8</v>
      </c>
      <c r="C7" t="s">
        <v>34</v>
      </c>
      <c r="D7" t="s">
        <v>96</v>
      </c>
      <c r="E7">
        <f>+B9</f>
        <v>13</v>
      </c>
      <c r="F7" t="s">
        <v>34</v>
      </c>
    </row>
    <row r="8" spans="1:6">
      <c r="A8" t="s">
        <v>33</v>
      </c>
      <c r="B8">
        <v>8</v>
      </c>
      <c r="C8" t="s">
        <v>34</v>
      </c>
    </row>
    <row r="9" spans="1:6">
      <c r="A9" t="s">
        <v>96</v>
      </c>
      <c r="B9">
        <v>13</v>
      </c>
      <c r="C9" t="s">
        <v>34</v>
      </c>
    </row>
    <row r="13" spans="1:6">
      <c r="A13" t="s">
        <v>101</v>
      </c>
      <c r="D13" t="s">
        <v>102</v>
      </c>
    </row>
    <row r="14" spans="1:6">
      <c r="A14" t="s">
        <v>97</v>
      </c>
      <c r="B14">
        <v>47</v>
      </c>
      <c r="C14" t="s">
        <v>30</v>
      </c>
      <c r="D14" s="1">
        <f>+B14*$E$6</f>
        <v>1128</v>
      </c>
      <c r="E14" t="s">
        <v>34</v>
      </c>
    </row>
    <row r="15" spans="1:6">
      <c r="A15" t="s">
        <v>98</v>
      </c>
      <c r="B15">
        <v>203</v>
      </c>
      <c r="C15" t="s">
        <v>30</v>
      </c>
      <c r="D15" s="1">
        <f>+B15*$E$6</f>
        <v>4872</v>
      </c>
      <c r="E15" t="s">
        <v>34</v>
      </c>
    </row>
    <row r="16" spans="1:6">
      <c r="A16" t="s">
        <v>96</v>
      </c>
      <c r="B16">
        <v>53</v>
      </c>
      <c r="C16" t="s">
        <v>30</v>
      </c>
      <c r="D16" s="1">
        <f>+B16*E7</f>
        <v>689</v>
      </c>
      <c r="E16" t="s">
        <v>34</v>
      </c>
    </row>
    <row r="17" spans="1:5">
      <c r="D17" s="1">
        <f>SUM(D14:D16)</f>
        <v>6689</v>
      </c>
      <c r="E17" t="s">
        <v>34</v>
      </c>
    </row>
    <row r="19" spans="1:5">
      <c r="A19" s="10" t="s">
        <v>109</v>
      </c>
      <c r="B19" s="27">
        <f>+D17</f>
        <v>6689</v>
      </c>
      <c r="C19" s="10" t="s">
        <v>34</v>
      </c>
    </row>
    <row r="21" spans="1:5">
      <c r="A21" t="s">
        <v>103</v>
      </c>
    </row>
    <row r="22" spans="1:5">
      <c r="A22" t="s">
        <v>104</v>
      </c>
      <c r="B22" t="s">
        <v>97</v>
      </c>
    </row>
    <row r="23" spans="1:5">
      <c r="A23" t="s">
        <v>86</v>
      </c>
      <c r="B23">
        <v>2</v>
      </c>
      <c r="C23" t="s">
        <v>34</v>
      </c>
    </row>
    <row r="24" spans="1:5">
      <c r="A24" t="s">
        <v>106</v>
      </c>
      <c r="C24">
        <f>+B23*B14</f>
        <v>94</v>
      </c>
      <c r="D24" t="s">
        <v>34</v>
      </c>
    </row>
    <row r="26" spans="1:5">
      <c r="A26" t="s">
        <v>107</v>
      </c>
      <c r="C26" s="1">
        <f>+D17-C24</f>
        <v>6595</v>
      </c>
      <c r="D26" t="s">
        <v>34</v>
      </c>
    </row>
    <row r="28" spans="1:5">
      <c r="A28" s="10" t="s">
        <v>111</v>
      </c>
      <c r="B28" s="28">
        <f>+(B19/4)/3</f>
        <v>557.41666666666663</v>
      </c>
      <c r="C28" s="10" t="s">
        <v>34</v>
      </c>
    </row>
    <row r="29" spans="1:5">
      <c r="A29" t="s">
        <v>110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topLeftCell="A10" workbookViewId="0">
      <selection activeCell="C23" sqref="C23"/>
    </sheetView>
  </sheetViews>
  <sheetFormatPr baseColWidth="10" defaultRowHeight="15"/>
  <cols>
    <col min="2" max="2" width="30.85546875" customWidth="1"/>
    <col min="3" max="3" width="16.28515625" customWidth="1"/>
    <col min="4" max="6" width="15.5703125" customWidth="1"/>
    <col min="7" max="8" width="17.7109375" customWidth="1"/>
  </cols>
  <sheetData>
    <row r="1" spans="1:10">
      <c r="B1" t="s">
        <v>0</v>
      </c>
      <c r="C1" s="4">
        <f>+Produccion!I1</f>
        <v>95000000</v>
      </c>
      <c r="D1" t="s">
        <v>1</v>
      </c>
    </row>
    <row r="2" spans="1:10">
      <c r="B2" t="s">
        <v>14</v>
      </c>
      <c r="C2" s="5">
        <v>3.0000000000000001E-3</v>
      </c>
      <c r="D2" t="s">
        <v>15</v>
      </c>
    </row>
    <row r="3" spans="1:10">
      <c r="B3" t="s">
        <v>36</v>
      </c>
      <c r="C3" s="1">
        <v>6689</v>
      </c>
      <c r="D3" t="s">
        <v>34</v>
      </c>
    </row>
    <row r="5" spans="1:10" ht="44.25" customHeight="1">
      <c r="B5" s="11" t="s">
        <v>39</v>
      </c>
      <c r="C5" s="12" t="s">
        <v>40</v>
      </c>
      <c r="D5" s="12" t="s">
        <v>37</v>
      </c>
      <c r="E5" s="12" t="s">
        <v>38</v>
      </c>
      <c r="F5" s="12" t="s">
        <v>91</v>
      </c>
      <c r="G5" s="12" t="s">
        <v>44</v>
      </c>
    </row>
    <row r="6" spans="1:10">
      <c r="B6" s="19" t="s">
        <v>7</v>
      </c>
      <c r="C6" s="15">
        <v>17640</v>
      </c>
      <c r="D6" s="7">
        <f>+$C$3</f>
        <v>6689</v>
      </c>
      <c r="E6" s="15">
        <f>+C6*D6</f>
        <v>117993960</v>
      </c>
      <c r="F6" s="29">
        <f>'Maquinas Especificaciones'!H16</f>
        <v>0.99681576952236539</v>
      </c>
      <c r="G6" s="15">
        <f>+E6*F6</f>
        <v>117618240.0363912</v>
      </c>
    </row>
    <row r="7" spans="1:10">
      <c r="B7" s="19" t="s">
        <v>11</v>
      </c>
      <c r="C7" s="15">
        <v>18500</v>
      </c>
      <c r="D7" s="7">
        <f t="shared" ref="D7:D9" si="0">+$C$3</f>
        <v>6689</v>
      </c>
      <c r="E7" s="15">
        <f t="shared" ref="E7:E9" si="1">+C7*D7</f>
        <v>123746500</v>
      </c>
      <c r="F7" s="29">
        <f>'Maquinas Especificaciones'!H17</f>
        <v>0.998786959818044</v>
      </c>
      <c r="G7" s="15">
        <f>+E7*F7</f>
        <v>123596390.52312358</v>
      </c>
    </row>
    <row r="8" spans="1:10">
      <c r="B8" s="19" t="s">
        <v>53</v>
      </c>
      <c r="C8" s="15">
        <v>15600</v>
      </c>
      <c r="D8" s="7">
        <f t="shared" si="0"/>
        <v>6689</v>
      </c>
      <c r="E8" s="15">
        <f t="shared" si="1"/>
        <v>104348400</v>
      </c>
      <c r="F8" s="29">
        <f>'Maquinas Especificaciones'!H18</f>
        <v>0.998786959818044</v>
      </c>
      <c r="G8" s="15">
        <f>+E8*F8</f>
        <v>104221821.19787718</v>
      </c>
    </row>
    <row r="9" spans="1:10">
      <c r="B9" s="19" t="s">
        <v>8</v>
      </c>
      <c r="C9" s="15">
        <v>14400</v>
      </c>
      <c r="D9" s="7">
        <f t="shared" si="0"/>
        <v>6689</v>
      </c>
      <c r="E9" s="15">
        <f t="shared" si="1"/>
        <v>96321600</v>
      </c>
      <c r="F9" s="29">
        <f>'Maquinas Especificaciones'!H19</f>
        <v>0.98730098559514778</v>
      </c>
      <c r="G9" s="15">
        <f>+E9*F9</f>
        <v>95098410.614101589</v>
      </c>
    </row>
    <row r="10" spans="1:10">
      <c r="J10" s="22"/>
    </row>
    <row r="16" spans="1:10" ht="30">
      <c r="A16" s="39"/>
      <c r="B16" s="11" t="s">
        <v>39</v>
      </c>
      <c r="C16" s="12" t="s">
        <v>41</v>
      </c>
      <c r="D16" s="12" t="s">
        <v>45</v>
      </c>
      <c r="E16" s="12" t="s">
        <v>42</v>
      </c>
      <c r="F16" s="12" t="s">
        <v>46</v>
      </c>
      <c r="G16" s="12" t="s">
        <v>43</v>
      </c>
    </row>
    <row r="17" spans="1:7">
      <c r="A17" s="40">
        <f>+G17</f>
        <v>80.881074202918185</v>
      </c>
      <c r="B17" s="7" t="s">
        <v>7</v>
      </c>
      <c r="C17" s="15">
        <f>+Produccion!B8</f>
        <v>285392.68799999997</v>
      </c>
      <c r="D17" s="15">
        <f>+G6*$C$2</f>
        <v>352854.72010917362</v>
      </c>
      <c r="E17" s="7">
        <f>+ROUNDUP(+(C17/D17),0)</f>
        <v>1</v>
      </c>
      <c r="F17" s="15">
        <f>+D17*E17</f>
        <v>352854.72010917362</v>
      </c>
      <c r="G17" s="20">
        <f>+C17/F17*100</f>
        <v>80.881074202918185</v>
      </c>
    </row>
    <row r="18" spans="1:7">
      <c r="A18" s="40">
        <f t="shared" ref="A18:A20" si="2">+G18</f>
        <v>76.968992053373924</v>
      </c>
      <c r="B18" s="7" t="s">
        <v>11</v>
      </c>
      <c r="C18" s="15">
        <f>+Produccion!B9</f>
        <v>285392.68799999997</v>
      </c>
      <c r="D18" s="15">
        <f>+G7*$C$2</f>
        <v>370789.17156937072</v>
      </c>
      <c r="E18" s="7">
        <f t="shared" ref="E18:E20" si="3">+ROUNDUP(+(C18/D18),0)</f>
        <v>1</v>
      </c>
      <c r="F18" s="15">
        <f t="shared" ref="F18:F20" si="4">+D18*E18</f>
        <v>370789.17156937072</v>
      </c>
      <c r="G18" s="20">
        <f t="shared" ref="G18:G20" si="5">+C18/F18*100</f>
        <v>76.968992053373924</v>
      </c>
    </row>
    <row r="19" spans="1:7">
      <c r="A19" s="40">
        <f t="shared" si="2"/>
        <v>91.214533489591616</v>
      </c>
      <c r="B19" s="7" t="s">
        <v>53</v>
      </c>
      <c r="C19" s="15">
        <f>+Produccion!B10</f>
        <v>285196.34399999998</v>
      </c>
      <c r="D19" s="15">
        <f>+G8*$C$2</f>
        <v>312665.46359363158</v>
      </c>
      <c r="E19" s="7">
        <f t="shared" si="3"/>
        <v>1</v>
      </c>
      <c r="F19" s="15">
        <f t="shared" si="4"/>
        <v>312665.46359363158</v>
      </c>
      <c r="G19" s="20">
        <f t="shared" si="5"/>
        <v>91.214533489591616</v>
      </c>
    </row>
    <row r="20" spans="1:7">
      <c r="A20" s="40">
        <f t="shared" si="2"/>
        <v>99.965338417447001</v>
      </c>
      <c r="B20" s="7" t="s">
        <v>8</v>
      </c>
      <c r="C20" s="15">
        <f>+Produccion!B11</f>
        <v>285196.34399999998</v>
      </c>
      <c r="D20" s="15">
        <f>+G9*$C$2</f>
        <v>285295.23184230475</v>
      </c>
      <c r="E20" s="7">
        <f t="shared" si="3"/>
        <v>1</v>
      </c>
      <c r="F20" s="15">
        <f t="shared" si="4"/>
        <v>285295.23184230475</v>
      </c>
      <c r="G20" s="20">
        <f t="shared" si="5"/>
        <v>99.965338417447001</v>
      </c>
    </row>
    <row r="22" spans="1:7">
      <c r="G22" s="18"/>
    </row>
    <row r="23" spans="1:7">
      <c r="C23" s="18"/>
    </row>
    <row r="25" spans="1:7">
      <c r="B25" t="s">
        <v>47</v>
      </c>
      <c r="C25" t="str">
        <f>VLOOKUP(MAX($A$17:$A$20),$A$17:$G$20,2,)</f>
        <v>Impresión</v>
      </c>
    </row>
    <row r="26" spans="1:7">
      <c r="B26" t="s">
        <v>48</v>
      </c>
      <c r="C26" s="1">
        <f>VLOOKUP(MAX($A$17:$A$20),$A$17:$G$20,6,)</f>
        <v>285295.23184230475</v>
      </c>
      <c r="D26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I21"/>
  <sheetViews>
    <sheetView topLeftCell="B1" workbookViewId="0">
      <selection activeCell="F22" sqref="F22"/>
    </sheetView>
  </sheetViews>
  <sheetFormatPr baseColWidth="10" defaultRowHeight="15"/>
  <cols>
    <col min="2" max="2" width="16.85546875" bestFit="1" customWidth="1"/>
    <col min="3" max="3" width="11.42578125" customWidth="1"/>
    <col min="4" max="4" width="30" customWidth="1"/>
    <col min="5" max="5" width="29.140625" bestFit="1" customWidth="1"/>
    <col min="6" max="6" width="23.28515625" bestFit="1" customWidth="1"/>
    <col min="7" max="7" width="32.42578125" bestFit="1" customWidth="1"/>
    <col min="8" max="8" width="24.42578125" bestFit="1" customWidth="1"/>
  </cols>
  <sheetData>
    <row r="1" spans="2:9">
      <c r="B1" s="32" t="s">
        <v>135</v>
      </c>
    </row>
    <row r="3" spans="2:9">
      <c r="E3" t="s">
        <v>0</v>
      </c>
      <c r="G3" s="30">
        <v>95000000</v>
      </c>
      <c r="H3" t="s">
        <v>1</v>
      </c>
    </row>
    <row r="4" spans="2:9">
      <c r="C4" t="s">
        <v>130</v>
      </c>
      <c r="E4" t="s">
        <v>14</v>
      </c>
      <c r="G4" s="31">
        <v>3.0000000000000001E-3</v>
      </c>
      <c r="H4" t="s">
        <v>15</v>
      </c>
    </row>
    <row r="5" spans="2:9">
      <c r="B5" t="s">
        <v>112</v>
      </c>
      <c r="C5" s="15">
        <f>G3*G4</f>
        <v>285000</v>
      </c>
      <c r="D5" t="s">
        <v>2</v>
      </c>
    </row>
    <row r="8" spans="2:9">
      <c r="B8" t="s">
        <v>113</v>
      </c>
      <c r="E8" s="1">
        <f>C5/12</f>
        <v>23750</v>
      </c>
      <c r="F8" t="s">
        <v>2</v>
      </c>
    </row>
    <row r="10" spans="2:9">
      <c r="B10" t="s">
        <v>139</v>
      </c>
      <c r="F10" t="s">
        <v>167</v>
      </c>
    </row>
    <row r="11" spans="2:9">
      <c r="C11" s="7" t="s">
        <v>114</v>
      </c>
      <c r="D11" s="7" t="s">
        <v>115</v>
      </c>
      <c r="E11" s="7" t="s">
        <v>116</v>
      </c>
      <c r="F11" s="7" t="s">
        <v>117</v>
      </c>
      <c r="G11" s="7" t="s">
        <v>118</v>
      </c>
      <c r="H11" s="7" t="s">
        <v>119</v>
      </c>
    </row>
    <row r="12" spans="2:9">
      <c r="C12" s="7">
        <v>1</v>
      </c>
      <c r="D12" s="7">
        <v>0</v>
      </c>
      <c r="E12" s="7">
        <v>33.33</v>
      </c>
      <c r="F12" s="7">
        <f>AVERAGE(D12:E12)</f>
        <v>16.664999999999999</v>
      </c>
      <c r="G12" s="15">
        <f>E8</f>
        <v>23750</v>
      </c>
      <c r="H12" s="15">
        <f>(F12*G12)/100</f>
        <v>3957.9375</v>
      </c>
    </row>
    <row r="13" spans="2:9">
      <c r="C13" s="7">
        <v>2</v>
      </c>
      <c r="D13" s="7">
        <v>33.33</v>
      </c>
      <c r="E13" s="7">
        <v>66.66</v>
      </c>
      <c r="F13" s="7">
        <f>AVERAGE(D13:E13)</f>
        <v>49.994999999999997</v>
      </c>
      <c r="G13" s="15">
        <f>E8</f>
        <v>23750</v>
      </c>
      <c r="H13" s="15">
        <f t="shared" ref="H13:H14" si="0">(F13*G13)/100</f>
        <v>11873.8125</v>
      </c>
    </row>
    <row r="14" spans="2:9">
      <c r="C14" s="7">
        <v>3</v>
      </c>
      <c r="D14" s="7">
        <v>66.66</v>
      </c>
      <c r="E14" s="7">
        <v>100</v>
      </c>
      <c r="F14" s="7">
        <f>AVERAGE(D14:E14)</f>
        <v>83.33</v>
      </c>
      <c r="G14" s="15">
        <f>E8</f>
        <v>23750</v>
      </c>
      <c r="H14" s="15">
        <f t="shared" si="0"/>
        <v>19790.875</v>
      </c>
    </row>
    <row r="15" spans="2:9">
      <c r="C15" s="7"/>
      <c r="D15" s="7"/>
      <c r="E15" s="7"/>
      <c r="F15" s="7"/>
      <c r="G15" s="7" t="s">
        <v>120</v>
      </c>
      <c r="H15" s="15">
        <f>SUM(H12:H14)</f>
        <v>35622.625</v>
      </c>
      <c r="I15" t="s">
        <v>2</v>
      </c>
    </row>
    <row r="18" spans="3:6">
      <c r="C18" t="s">
        <v>129</v>
      </c>
    </row>
    <row r="19" spans="3:6">
      <c r="E19" s="27">
        <f>E8*9</f>
        <v>213750</v>
      </c>
      <c r="F19" t="s">
        <v>2</v>
      </c>
    </row>
    <row r="20" spans="3:6">
      <c r="C20" t="s">
        <v>126</v>
      </c>
      <c r="E20" s="27">
        <f>E19+H15</f>
        <v>249372.625</v>
      </c>
      <c r="F20" t="s">
        <v>2</v>
      </c>
    </row>
    <row r="21" spans="3:6">
      <c r="C21" t="s">
        <v>163</v>
      </c>
      <c r="E21" s="27">
        <f>C5</f>
        <v>285000</v>
      </c>
      <c r="F21" t="s"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G20" sqref="G20"/>
    </sheetView>
  </sheetViews>
  <sheetFormatPr baseColWidth="10" defaultRowHeight="15"/>
  <sheetData>
    <row r="1" spans="1:12">
      <c r="A1" s="32" t="s">
        <v>133</v>
      </c>
    </row>
    <row r="3" spans="1:12">
      <c r="B3" t="s">
        <v>125</v>
      </c>
      <c r="J3" t="s">
        <v>112</v>
      </c>
      <c r="L3" s="15">
        <f>'Volumen de Produccion'!C5</f>
        <v>285000</v>
      </c>
    </row>
    <row r="4" spans="1:12">
      <c r="B4" t="s">
        <v>121</v>
      </c>
      <c r="D4" s="7">
        <v>52</v>
      </c>
      <c r="E4" t="s">
        <v>122</v>
      </c>
    </row>
    <row r="6" spans="1:12">
      <c r="C6" s="1">
        <f>L3/'Stock Prom - Evolucion de Venta'!D4</f>
        <v>5480.7692307692305</v>
      </c>
      <c r="D6" t="s">
        <v>123</v>
      </c>
    </row>
    <row r="8" spans="1:12">
      <c r="C8" t="s">
        <v>124</v>
      </c>
      <c r="F8" s="15">
        <f>(C6-0)/2</f>
        <v>2740.3846153846152</v>
      </c>
      <c r="G8" t="s">
        <v>2</v>
      </c>
    </row>
    <row r="9" spans="1:12">
      <c r="F9" s="35"/>
    </row>
    <row r="11" spans="1:12">
      <c r="C11" t="s">
        <v>127</v>
      </c>
    </row>
    <row r="12" spans="1:12">
      <c r="C12" t="s">
        <v>128</v>
      </c>
    </row>
    <row r="14" spans="1:12">
      <c r="A14" s="32" t="s">
        <v>134</v>
      </c>
      <c r="B14" s="32"/>
      <c r="C14" s="32"/>
      <c r="D14" s="32"/>
      <c r="E14" s="32"/>
      <c r="F14" s="32"/>
      <c r="G14" s="32"/>
    </row>
    <row r="15" spans="1:12">
      <c r="A15" s="32"/>
      <c r="B15" s="32"/>
      <c r="C15" s="32"/>
      <c r="D15" s="32"/>
      <c r="E15" s="32"/>
      <c r="F15" s="32"/>
      <c r="G15" s="32"/>
    </row>
    <row r="16" spans="1:12">
      <c r="C16" t="s">
        <v>204</v>
      </c>
      <c r="E16" s="27">
        <f>'Volumen de Produccion'!E20-'Stock Prom - Evolucion de Venta'!F8</f>
        <v>246632.24038461538</v>
      </c>
      <c r="F16" t="s">
        <v>2</v>
      </c>
    </row>
    <row r="17" spans="3:6">
      <c r="D17" t="s">
        <v>131</v>
      </c>
    </row>
    <row r="19" spans="3:6">
      <c r="C19" t="s">
        <v>205</v>
      </c>
      <c r="E19" s="27">
        <f>L3</f>
        <v>285000</v>
      </c>
      <c r="F19" t="s">
        <v>2</v>
      </c>
    </row>
    <row r="20" spans="3:6">
      <c r="D20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L49"/>
  <sheetViews>
    <sheetView topLeftCell="C1" workbookViewId="0">
      <selection activeCell="G43" sqref="G43"/>
    </sheetView>
  </sheetViews>
  <sheetFormatPr baseColWidth="10" defaultRowHeight="15"/>
  <cols>
    <col min="2" max="2" width="26.7109375" customWidth="1"/>
    <col min="6" max="6" width="46" bestFit="1" customWidth="1"/>
    <col min="9" max="9" width="15.140625" customWidth="1"/>
    <col min="10" max="10" width="8.140625" customWidth="1"/>
  </cols>
  <sheetData>
    <row r="2" spans="2:12">
      <c r="B2" s="32" t="s">
        <v>136</v>
      </c>
    </row>
    <row r="4" spans="2:12">
      <c r="B4" s="10" t="s">
        <v>109</v>
      </c>
      <c r="C4" s="27">
        <f>'Horas Hombre'!B19</f>
        <v>6689</v>
      </c>
      <c r="D4" s="10" t="s">
        <v>34</v>
      </c>
    </row>
    <row r="7" spans="2:12">
      <c r="B7" s="10" t="s">
        <v>52</v>
      </c>
      <c r="F7" s="10" t="s">
        <v>62</v>
      </c>
      <c r="J7" s="10"/>
      <c r="K7" s="27"/>
      <c r="L7" s="10"/>
    </row>
    <row r="8" spans="2:12">
      <c r="B8" t="s">
        <v>54</v>
      </c>
      <c r="C8" s="1">
        <v>14400</v>
      </c>
      <c r="D8" t="s">
        <v>27</v>
      </c>
      <c r="F8" t="s">
        <v>63</v>
      </c>
      <c r="G8">
        <v>32</v>
      </c>
      <c r="H8" t="s">
        <v>3</v>
      </c>
    </row>
    <row r="9" spans="2:12">
      <c r="F9" t="s">
        <v>82</v>
      </c>
      <c r="G9">
        <v>7</v>
      </c>
      <c r="H9" t="s">
        <v>28</v>
      </c>
    </row>
    <row r="11" spans="2:12">
      <c r="B11" t="s">
        <v>147</v>
      </c>
    </row>
    <row r="14" spans="2:12">
      <c r="D14" t="s">
        <v>149</v>
      </c>
      <c r="F14" s="5">
        <f>C8/3600</f>
        <v>4</v>
      </c>
      <c r="G14" t="s">
        <v>28</v>
      </c>
    </row>
    <row r="15" spans="2:12">
      <c r="D15" t="s">
        <v>148</v>
      </c>
    </row>
    <row r="17" spans="1:10">
      <c r="D17" t="s">
        <v>150</v>
      </c>
      <c r="G17" s="1">
        <f>C4*3600/F14</f>
        <v>6020100</v>
      </c>
      <c r="H17" t="s">
        <v>151</v>
      </c>
    </row>
    <row r="20" spans="1:10">
      <c r="A20" t="s">
        <v>146</v>
      </c>
    </row>
    <row r="22" spans="1:10">
      <c r="D22" t="s">
        <v>145</v>
      </c>
    </row>
    <row r="23" spans="1:10">
      <c r="F23" t="s">
        <v>137</v>
      </c>
      <c r="H23" s="15">
        <f>'Volumen de Produccion'!H15*1.02</f>
        <v>36335.077499999999</v>
      </c>
      <c r="I23" t="s">
        <v>2</v>
      </c>
    </row>
    <row r="24" spans="1:10">
      <c r="F24" t="s">
        <v>138</v>
      </c>
      <c r="H24" s="15">
        <f>'Volumen de Produccion'!E19</f>
        <v>213750</v>
      </c>
      <c r="I24" t="s">
        <v>2</v>
      </c>
    </row>
    <row r="25" spans="1:10">
      <c r="F25" t="s">
        <v>142</v>
      </c>
      <c r="H25" s="15">
        <f>SUM(H23:H24)</f>
        <v>250085.07750000001</v>
      </c>
      <c r="I25" t="s">
        <v>2</v>
      </c>
    </row>
    <row r="26" spans="1:10">
      <c r="H26" s="1"/>
    </row>
    <row r="27" spans="1:10">
      <c r="F27" t="s">
        <v>140</v>
      </c>
      <c r="H27" s="15">
        <f>'Volumen de Produccion'!E20</f>
        <v>249372.625</v>
      </c>
      <c r="I27" t="s">
        <v>2</v>
      </c>
    </row>
    <row r="28" spans="1:10">
      <c r="H28" s="1"/>
    </row>
    <row r="29" spans="1:10">
      <c r="F29" s="33" t="s">
        <v>141</v>
      </c>
      <c r="H29" s="15">
        <f>H25-H27</f>
        <v>712.45250000001397</v>
      </c>
      <c r="I29" t="s">
        <v>2</v>
      </c>
    </row>
    <row r="30" spans="1:10">
      <c r="J30" s="1"/>
    </row>
    <row r="32" spans="1:10">
      <c r="C32" s="32" t="s">
        <v>143</v>
      </c>
    </row>
    <row r="33" spans="3:11">
      <c r="C33" t="s">
        <v>144</v>
      </c>
      <c r="F33" t="s">
        <v>152</v>
      </c>
      <c r="I33" s="36">
        <f>(Produccion!B8/('MP - MeCySE'!C4*3600))*4</f>
        <v>4.7406635770169923E-2</v>
      </c>
      <c r="J33" t="s">
        <v>2</v>
      </c>
      <c r="K33" t="s">
        <v>153</v>
      </c>
    </row>
    <row r="34" spans="3:11">
      <c r="C34" t="s">
        <v>154</v>
      </c>
      <c r="E34">
        <f>I33/(1+Produccion!D16)</f>
        <v>4.1665714353334111E-2</v>
      </c>
      <c r="F34" t="s">
        <v>2</v>
      </c>
    </row>
    <row r="35" spans="3:11">
      <c r="C35" t="s">
        <v>155</v>
      </c>
      <c r="F35">
        <f>('MP - MeCySE'!E34*Produccion!D17)/100</f>
        <v>0</v>
      </c>
      <c r="G35" t="s">
        <v>2</v>
      </c>
    </row>
    <row r="36" spans="3:11">
      <c r="C36" t="s">
        <v>156</v>
      </c>
      <c r="F36" s="5">
        <f>E34*Produccion!D16</f>
        <v>5.7409214168358119E-3</v>
      </c>
      <c r="G36" t="s">
        <v>2</v>
      </c>
    </row>
    <row r="37" spans="3:11">
      <c r="C37" t="s">
        <v>157</v>
      </c>
      <c r="G37">
        <f>SUM(E34,F35,F36)</f>
        <v>4.7406635770169923E-2</v>
      </c>
      <c r="H37" t="s">
        <v>2</v>
      </c>
    </row>
    <row r="39" spans="3:11">
      <c r="C39" t="s">
        <v>158</v>
      </c>
    </row>
    <row r="40" spans="3:11">
      <c r="F40" s="1">
        <f>Produccion!C12/'MP - MeCySE'!F36</f>
        <v>68401.563353297985</v>
      </c>
    </row>
    <row r="42" spans="3:11">
      <c r="C42" t="s">
        <v>159</v>
      </c>
    </row>
    <row r="43" spans="3:11">
      <c r="D43" t="s">
        <v>160</v>
      </c>
      <c r="G43" s="1">
        <f>H25</f>
        <v>250085.07750000001</v>
      </c>
      <c r="H43" t="s">
        <v>2</v>
      </c>
    </row>
    <row r="44" spans="3:11">
      <c r="D44" t="s">
        <v>161</v>
      </c>
      <c r="G44" s="1">
        <f>I33</f>
        <v>4.7406635770169923E-2</v>
      </c>
      <c r="H44" t="s">
        <v>2</v>
      </c>
    </row>
    <row r="45" spans="3:11">
      <c r="D45" t="s">
        <v>162</v>
      </c>
      <c r="G45" s="1">
        <f>SUM(G43:G44)</f>
        <v>250085.12490663579</v>
      </c>
      <c r="H45" t="s">
        <v>2</v>
      </c>
    </row>
    <row r="46" spans="3:11">
      <c r="G46" s="1"/>
    </row>
    <row r="47" spans="3:11">
      <c r="C47" t="s">
        <v>164</v>
      </c>
      <c r="G47" s="1">
        <f>'Volumen de Produccion'!E21*1</f>
        <v>285000</v>
      </c>
      <c r="H47" t="s">
        <v>2</v>
      </c>
    </row>
    <row r="48" spans="3:11">
      <c r="E48" t="s">
        <v>165</v>
      </c>
      <c r="G48" s="1">
        <f>'Volumen de Produccion'!E21</f>
        <v>285000</v>
      </c>
      <c r="H48" t="s">
        <v>2</v>
      </c>
    </row>
    <row r="49" spans="5:8">
      <c r="E49" t="s">
        <v>166</v>
      </c>
      <c r="G49" s="1">
        <f>G47-G48</f>
        <v>0</v>
      </c>
      <c r="H49" t="s">
        <v>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M56"/>
  <sheetViews>
    <sheetView topLeftCell="A40" workbookViewId="0">
      <selection activeCell="F50" sqref="F50"/>
    </sheetView>
  </sheetViews>
  <sheetFormatPr baseColWidth="10" defaultRowHeight="15"/>
  <cols>
    <col min="3" max="3" width="31.5703125" bestFit="1" customWidth="1"/>
    <col min="4" max="4" width="12.5703125" bestFit="1" customWidth="1"/>
    <col min="5" max="5" width="13.28515625" bestFit="1" customWidth="1"/>
    <col min="6" max="6" width="11.85546875" bestFit="1" customWidth="1"/>
    <col min="8" max="8" width="18.140625" bestFit="1" customWidth="1"/>
  </cols>
  <sheetData>
    <row r="3" spans="1:13">
      <c r="A3" t="s">
        <v>182</v>
      </c>
    </row>
    <row r="5" spans="1:13">
      <c r="A5" t="s">
        <v>187</v>
      </c>
      <c r="G5" s="1">
        <f>D7*2</f>
        <v>47500</v>
      </c>
      <c r="H5" t="s">
        <v>2</v>
      </c>
    </row>
    <row r="7" spans="1:13">
      <c r="A7" t="s">
        <v>184</v>
      </c>
      <c r="D7" s="1">
        <f>'MP - MeCySE'!G47/12</f>
        <v>23750</v>
      </c>
      <c r="E7" t="s">
        <v>2</v>
      </c>
    </row>
    <row r="9" spans="1:13">
      <c r="A9" t="s">
        <v>188</v>
      </c>
    </row>
    <row r="11" spans="1:13" ht="30">
      <c r="D11" s="34" t="s">
        <v>169</v>
      </c>
      <c r="E11" s="34" t="s">
        <v>183</v>
      </c>
      <c r="F11" s="34" t="s">
        <v>168</v>
      </c>
      <c r="G11" s="44" t="s">
        <v>185</v>
      </c>
      <c r="H11" s="45" t="s">
        <v>214</v>
      </c>
    </row>
    <row r="12" spans="1:13">
      <c r="D12" s="7" t="s">
        <v>170</v>
      </c>
      <c r="E12" s="15">
        <f>D7*2</f>
        <v>47500</v>
      </c>
      <c r="F12" s="15">
        <f>L13*18</f>
        <v>24750</v>
      </c>
      <c r="G12" s="41">
        <f>D7</f>
        <v>23750</v>
      </c>
      <c r="H12" s="46">
        <v>18</v>
      </c>
    </row>
    <row r="13" spans="1:13">
      <c r="D13" s="7" t="s">
        <v>171</v>
      </c>
      <c r="E13" s="15">
        <f t="shared" ref="E13:E23" si="0">SUM(E12:F12)-$D$7</f>
        <v>48500</v>
      </c>
      <c r="F13" s="42">
        <f t="shared" ref="F13:F23" si="1">H13*$L$13</f>
        <v>23375</v>
      </c>
      <c r="G13" s="42">
        <f>D7</f>
        <v>23750</v>
      </c>
      <c r="H13" s="34">
        <f t="shared" ref="H13:H23" si="2">ROUNDUP(IF((E13-G13)&lt;$G$5,($G$5-(E13-G13))/$L$13,0),0)</f>
        <v>17</v>
      </c>
      <c r="J13" t="s">
        <v>186</v>
      </c>
      <c r="L13" s="1">
        <f>25*55</f>
        <v>1375</v>
      </c>
      <c r="M13" t="s">
        <v>2</v>
      </c>
    </row>
    <row r="14" spans="1:13">
      <c r="D14" s="7" t="s">
        <v>172</v>
      </c>
      <c r="E14" s="15">
        <f t="shared" si="0"/>
        <v>48125</v>
      </c>
      <c r="F14" s="42">
        <f t="shared" si="1"/>
        <v>23375</v>
      </c>
      <c r="G14" s="41">
        <f>D7</f>
        <v>23750</v>
      </c>
      <c r="H14" s="34">
        <f t="shared" si="2"/>
        <v>17</v>
      </c>
    </row>
    <row r="15" spans="1:13">
      <c r="D15" s="7" t="s">
        <v>173</v>
      </c>
      <c r="E15" s="15">
        <f t="shared" si="0"/>
        <v>47750</v>
      </c>
      <c r="F15" s="42">
        <f t="shared" si="1"/>
        <v>24750</v>
      </c>
      <c r="G15" s="42">
        <f>G14</f>
        <v>23750</v>
      </c>
      <c r="H15" s="34">
        <f t="shared" si="2"/>
        <v>18</v>
      </c>
    </row>
    <row r="16" spans="1:13">
      <c r="D16" s="7" t="s">
        <v>174</v>
      </c>
      <c r="E16" s="15">
        <f t="shared" si="0"/>
        <v>48750</v>
      </c>
      <c r="F16" s="42">
        <f t="shared" si="1"/>
        <v>23375</v>
      </c>
      <c r="G16" s="41">
        <f>D7</f>
        <v>23750</v>
      </c>
      <c r="H16" s="34">
        <f t="shared" si="2"/>
        <v>17</v>
      </c>
    </row>
    <row r="17" spans="4:10">
      <c r="D17" s="7" t="s">
        <v>175</v>
      </c>
      <c r="E17" s="15">
        <f t="shared" si="0"/>
        <v>48375</v>
      </c>
      <c r="F17" s="42">
        <f t="shared" si="1"/>
        <v>23375</v>
      </c>
      <c r="G17" s="42">
        <f>D7</f>
        <v>23750</v>
      </c>
      <c r="H17" s="34">
        <f t="shared" si="2"/>
        <v>17</v>
      </c>
    </row>
    <row r="18" spans="4:10">
      <c r="D18" s="7" t="s">
        <v>176</v>
      </c>
      <c r="E18" s="15">
        <f t="shared" si="0"/>
        <v>48000</v>
      </c>
      <c r="F18" s="42">
        <f t="shared" si="1"/>
        <v>23375</v>
      </c>
      <c r="G18" s="41">
        <f>D7</f>
        <v>23750</v>
      </c>
      <c r="H18" s="34">
        <f t="shared" si="2"/>
        <v>17</v>
      </c>
    </row>
    <row r="19" spans="4:10">
      <c r="D19" s="7" t="s">
        <v>177</v>
      </c>
      <c r="E19" s="15">
        <f t="shared" si="0"/>
        <v>47625</v>
      </c>
      <c r="F19" s="42">
        <f t="shared" si="1"/>
        <v>24750</v>
      </c>
      <c r="G19" s="42">
        <f>D7</f>
        <v>23750</v>
      </c>
      <c r="H19" s="34">
        <f t="shared" si="2"/>
        <v>18</v>
      </c>
    </row>
    <row r="20" spans="4:10">
      <c r="D20" s="37" t="s">
        <v>178</v>
      </c>
      <c r="E20" s="15">
        <f t="shared" si="0"/>
        <v>48625</v>
      </c>
      <c r="F20" s="42">
        <f t="shared" si="1"/>
        <v>23375</v>
      </c>
      <c r="G20" s="41">
        <f>D7</f>
        <v>23750</v>
      </c>
      <c r="H20" s="34">
        <f t="shared" si="2"/>
        <v>17</v>
      </c>
    </row>
    <row r="21" spans="4:10">
      <c r="D21" s="37" t="s">
        <v>179</v>
      </c>
      <c r="E21" s="15">
        <f t="shared" si="0"/>
        <v>48250</v>
      </c>
      <c r="F21" s="42">
        <f t="shared" si="1"/>
        <v>23375</v>
      </c>
      <c r="G21" s="42">
        <f>D7</f>
        <v>23750</v>
      </c>
      <c r="H21" s="34">
        <f t="shared" si="2"/>
        <v>17</v>
      </c>
    </row>
    <row r="22" spans="4:10">
      <c r="D22" s="37" t="s">
        <v>180</v>
      </c>
      <c r="E22" s="15">
        <f t="shared" si="0"/>
        <v>47875</v>
      </c>
      <c r="F22" s="42">
        <f t="shared" si="1"/>
        <v>23375</v>
      </c>
      <c r="G22" s="41">
        <f>D7</f>
        <v>23750</v>
      </c>
      <c r="H22" s="34">
        <f t="shared" si="2"/>
        <v>17</v>
      </c>
    </row>
    <row r="23" spans="4:10">
      <c r="D23" s="37" t="s">
        <v>181</v>
      </c>
      <c r="E23" s="15">
        <f t="shared" si="0"/>
        <v>47500</v>
      </c>
      <c r="F23" s="42">
        <f t="shared" si="1"/>
        <v>24750</v>
      </c>
      <c r="G23" s="42">
        <f>D7</f>
        <v>23750</v>
      </c>
      <c r="H23" s="34">
        <f t="shared" si="2"/>
        <v>18</v>
      </c>
    </row>
    <row r="24" spans="4:10">
      <c r="D24" s="38"/>
      <c r="E24" s="35"/>
      <c r="F24" s="35"/>
      <c r="G24" s="35"/>
    </row>
    <row r="25" spans="4:10">
      <c r="D25" s="38" t="s">
        <v>189</v>
      </c>
      <c r="F25" s="43">
        <f>SUM(E12:E23)/12</f>
        <v>48072.916666666664</v>
      </c>
      <c r="G25" t="s">
        <v>2</v>
      </c>
      <c r="H25" t="s">
        <v>190</v>
      </c>
      <c r="I25">
        <f>F25/D7</f>
        <v>2.0241228070175437</v>
      </c>
      <c r="J25" t="s">
        <v>191</v>
      </c>
    </row>
    <row r="48" spans="3:7">
      <c r="C48" s="7"/>
      <c r="D48" s="7" t="s">
        <v>192</v>
      </c>
      <c r="E48" s="7" t="s">
        <v>206</v>
      </c>
      <c r="F48" s="7" t="s">
        <v>108</v>
      </c>
      <c r="G48" s="7" t="s">
        <v>193</v>
      </c>
    </row>
    <row r="49" spans="3:7">
      <c r="C49" s="7" t="s">
        <v>196</v>
      </c>
      <c r="D49" s="7" t="s">
        <v>195</v>
      </c>
      <c r="E49" s="15"/>
      <c r="F49" s="15">
        <f>'Stock Prom - Evolucion de Venta'!E16</f>
        <v>246632.24038461538</v>
      </c>
      <c r="G49" s="15">
        <f>'Stock Prom - Evolucion de Venta'!E19</f>
        <v>285000</v>
      </c>
    </row>
    <row r="50" spans="3:7">
      <c r="C50" s="7" t="s">
        <v>197</v>
      </c>
      <c r="D50" s="7" t="s">
        <v>195</v>
      </c>
      <c r="E50" s="15"/>
      <c r="F50" s="15">
        <f>'Stock Prom - Evolucion de Venta'!F8</f>
        <v>2740.3846153846152</v>
      </c>
      <c r="G50" s="15">
        <f>'Stock Prom - Evolucion de Venta'!F8</f>
        <v>2740.3846153846152</v>
      </c>
    </row>
    <row r="51" spans="3:7">
      <c r="C51" s="7" t="s">
        <v>198</v>
      </c>
      <c r="D51" s="7" t="s">
        <v>195</v>
      </c>
      <c r="E51" s="15"/>
      <c r="F51" s="15">
        <f>'Volumen de Produccion'!E20</f>
        <v>249372.625</v>
      </c>
      <c r="G51" s="15">
        <f>'Volumen de Produccion'!E21</f>
        <v>285000</v>
      </c>
    </row>
    <row r="52" spans="3:7">
      <c r="C52" s="7" t="s">
        <v>199</v>
      </c>
      <c r="D52" s="7" t="s">
        <v>194</v>
      </c>
      <c r="E52" s="15"/>
      <c r="F52" s="15">
        <f>'MP - MeCySE'!H29</f>
        <v>712.45250000001397</v>
      </c>
      <c r="G52" s="15">
        <f>'MP - MeCySE'!G49</f>
        <v>0</v>
      </c>
    </row>
    <row r="53" spans="3:7">
      <c r="C53" s="7" t="s">
        <v>200</v>
      </c>
      <c r="D53" s="7" t="s">
        <v>194</v>
      </c>
      <c r="E53" s="15"/>
      <c r="F53" s="15">
        <f>'MP - MeCySE'!G44</f>
        <v>4.7406635770169923E-2</v>
      </c>
      <c r="G53" s="15">
        <f>'MP - MeCySE'!G44</f>
        <v>4.7406635770169923E-2</v>
      </c>
    </row>
    <row r="54" spans="3:7">
      <c r="C54" s="7" t="s">
        <v>201</v>
      </c>
      <c r="D54" s="7" t="s">
        <v>194</v>
      </c>
      <c r="E54" s="15"/>
      <c r="F54" s="15">
        <f>'MP - MeCySE'!G45</f>
        <v>250085.12490663579</v>
      </c>
      <c r="G54" s="15">
        <f>'MP - MeCySE'!G47</f>
        <v>285000</v>
      </c>
    </row>
    <row r="55" spans="3:7">
      <c r="C55" s="7" t="s">
        <v>202</v>
      </c>
      <c r="D55" s="7" t="s">
        <v>194</v>
      </c>
      <c r="E55" s="15">
        <f>'MP - MeCySE'!H23</f>
        <v>36335.077499999999</v>
      </c>
      <c r="F55" s="15">
        <f>F25</f>
        <v>48072.916666666664</v>
      </c>
      <c r="G55" s="15">
        <f>F25</f>
        <v>48072.916666666664</v>
      </c>
    </row>
    <row r="56" spans="3:7">
      <c r="C56" s="7" t="s">
        <v>203</v>
      </c>
      <c r="D56" s="7" t="s">
        <v>194</v>
      </c>
      <c r="E56" s="15">
        <f>'MP - MeCySE'!H23</f>
        <v>36335.077499999999</v>
      </c>
      <c r="F56" s="15">
        <f>F55+F54-'MP - MeCySE'!H23</f>
        <v>261822.96407330246</v>
      </c>
      <c r="G56" s="15">
        <f>SUM(F12:F23)</f>
        <v>286000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2"/>
  <sheetViews>
    <sheetView tabSelected="1" workbookViewId="0">
      <selection activeCell="C20" sqref="C20"/>
    </sheetView>
  </sheetViews>
  <sheetFormatPr baseColWidth="10" defaultRowHeight="15"/>
  <cols>
    <col min="1" max="1" width="27.28515625" customWidth="1"/>
    <col min="2" max="2" width="12.85546875" bestFit="1" customWidth="1"/>
    <col min="7" max="7" width="20" customWidth="1"/>
    <col min="8" max="8" width="7.7109375" customWidth="1"/>
    <col min="10" max="10" width="5" bestFit="1" customWidth="1"/>
    <col min="11" max="11" width="3" bestFit="1" customWidth="1"/>
    <col min="12" max="12" width="7.7109375" customWidth="1"/>
    <col min="13" max="13" width="7.7109375" bestFit="1" customWidth="1"/>
    <col min="14" max="14" width="5.5703125" customWidth="1"/>
    <col min="15" max="15" width="3.28515625" customWidth="1"/>
    <col min="16" max="16" width="8.140625" customWidth="1"/>
    <col min="17" max="17" width="4.5703125" customWidth="1"/>
  </cols>
  <sheetData>
    <row r="1" spans="1:17">
      <c r="A1" t="s">
        <v>50</v>
      </c>
      <c r="G1" t="s">
        <v>207</v>
      </c>
      <c r="H1">
        <v>52</v>
      </c>
      <c r="I1" t="s">
        <v>89</v>
      </c>
    </row>
    <row r="2" spans="1:17">
      <c r="G2" t="s">
        <v>207</v>
      </c>
      <c r="H2">
        <f>+[1]Ej2!B2</f>
        <v>303</v>
      </c>
      <c r="I2" t="s">
        <v>30</v>
      </c>
    </row>
    <row r="3" spans="1:17">
      <c r="A3" s="10" t="s">
        <v>71</v>
      </c>
      <c r="G3" t="s">
        <v>208</v>
      </c>
      <c r="H3" s="1">
        <v>6595</v>
      </c>
    </row>
    <row r="4" spans="1:17">
      <c r="A4" t="s">
        <v>26</v>
      </c>
      <c r="B4" s="23" t="s">
        <v>70</v>
      </c>
      <c r="C4" t="s">
        <v>72</v>
      </c>
    </row>
    <row r="5" spans="1:17">
      <c r="A5" t="s">
        <v>69</v>
      </c>
      <c r="B5">
        <v>5.5</v>
      </c>
      <c r="C5" t="s">
        <v>65</v>
      </c>
    </row>
    <row r="6" spans="1:17">
      <c r="G6" s="10" t="s">
        <v>209</v>
      </c>
      <c r="H6" s="50" t="s">
        <v>83</v>
      </c>
      <c r="I6" s="50"/>
      <c r="J6" s="50" t="s">
        <v>86</v>
      </c>
      <c r="K6" s="50"/>
      <c r="L6" s="50" t="s">
        <v>83</v>
      </c>
      <c r="M6" s="50"/>
      <c r="N6" s="50" t="s">
        <v>86</v>
      </c>
      <c r="O6" s="50"/>
      <c r="P6" s="50" t="s">
        <v>90</v>
      </c>
      <c r="Q6" s="50"/>
    </row>
    <row r="7" spans="1:17">
      <c r="A7" s="10" t="s">
        <v>25</v>
      </c>
      <c r="G7" t="s">
        <v>25</v>
      </c>
      <c r="H7">
        <v>1</v>
      </c>
      <c r="I7" t="s">
        <v>84</v>
      </c>
      <c r="J7">
        <f>15/60</f>
        <v>0.25</v>
      </c>
      <c r="K7" t="s">
        <v>34</v>
      </c>
      <c r="L7">
        <v>1</v>
      </c>
      <c r="M7" t="s">
        <v>87</v>
      </c>
      <c r="N7" s="26">
        <v>8</v>
      </c>
      <c r="O7" t="s">
        <v>34</v>
      </c>
      <c r="P7">
        <f>+J7*H1+N7</f>
        <v>21</v>
      </c>
      <c r="Q7" t="s">
        <v>34</v>
      </c>
    </row>
    <row r="8" spans="1:17">
      <c r="A8" t="s">
        <v>67</v>
      </c>
      <c r="B8">
        <v>16</v>
      </c>
      <c r="C8" t="s">
        <v>64</v>
      </c>
      <c r="G8" t="s">
        <v>52</v>
      </c>
      <c r="H8">
        <v>1</v>
      </c>
      <c r="I8" t="s">
        <v>85</v>
      </c>
      <c r="J8">
        <f>15/60</f>
        <v>0.25</v>
      </c>
      <c r="K8" t="s">
        <v>34</v>
      </c>
      <c r="L8">
        <v>1</v>
      </c>
      <c r="M8" t="s">
        <v>87</v>
      </c>
      <c r="N8" s="26">
        <v>8</v>
      </c>
      <c r="O8" t="s">
        <v>34</v>
      </c>
      <c r="P8">
        <f>+J8*H2+N8</f>
        <v>83.75</v>
      </c>
      <c r="Q8" t="s">
        <v>34</v>
      </c>
    </row>
    <row r="9" spans="1:17">
      <c r="A9" t="s">
        <v>68</v>
      </c>
      <c r="B9">
        <v>15</v>
      </c>
      <c r="C9" t="s">
        <v>65</v>
      </c>
      <c r="G9" t="s">
        <v>51</v>
      </c>
      <c r="L9">
        <v>1</v>
      </c>
      <c r="M9" t="s">
        <v>87</v>
      </c>
      <c r="N9" s="26">
        <v>8</v>
      </c>
      <c r="O9" t="s">
        <v>34</v>
      </c>
      <c r="P9">
        <f>+N9</f>
        <v>8</v>
      </c>
      <c r="Q9" t="s">
        <v>34</v>
      </c>
    </row>
    <row r="10" spans="1:17">
      <c r="A10" t="s">
        <v>66</v>
      </c>
      <c r="B10">
        <v>13</v>
      </c>
      <c r="C10" t="s">
        <v>65</v>
      </c>
      <c r="G10" t="s">
        <v>29</v>
      </c>
      <c r="L10">
        <v>1</v>
      </c>
      <c r="M10" t="s">
        <v>87</v>
      </c>
      <c r="N10" s="26">
        <v>8</v>
      </c>
      <c r="O10" t="s">
        <v>34</v>
      </c>
      <c r="P10" s="25">
        <f>+N10</f>
        <v>8</v>
      </c>
      <c r="Q10" t="s">
        <v>34</v>
      </c>
    </row>
    <row r="13" spans="1:17">
      <c r="A13" s="10" t="s">
        <v>62</v>
      </c>
      <c r="G13" t="s">
        <v>210</v>
      </c>
    </row>
    <row r="14" spans="1:17">
      <c r="A14" t="s">
        <v>63</v>
      </c>
      <c r="B14">
        <v>32</v>
      </c>
      <c r="C14" t="s">
        <v>3</v>
      </c>
    </row>
    <row r="15" spans="1:17">
      <c r="A15" t="s">
        <v>82</v>
      </c>
      <c r="B15">
        <v>7</v>
      </c>
      <c r="C15" t="s">
        <v>28</v>
      </c>
      <c r="G15" s="10" t="s">
        <v>88</v>
      </c>
    </row>
    <row r="16" spans="1:17">
      <c r="G16" t="s">
        <v>25</v>
      </c>
      <c r="H16" s="24">
        <f>+($H$3-P7)/$H$3</f>
        <v>0.99681576952236539</v>
      </c>
    </row>
    <row r="17" spans="1:8">
      <c r="G17" t="s">
        <v>51</v>
      </c>
      <c r="H17" s="24">
        <f>+($H$3-P9)/$H$3</f>
        <v>0.998786959818044</v>
      </c>
    </row>
    <row r="18" spans="1:8">
      <c r="A18" s="10" t="s">
        <v>51</v>
      </c>
      <c r="G18" t="s">
        <v>29</v>
      </c>
      <c r="H18" s="24">
        <f>+($H$3-P10)/$H$3</f>
        <v>0.998786959818044</v>
      </c>
    </row>
    <row r="19" spans="1:8">
      <c r="A19" t="s">
        <v>54</v>
      </c>
      <c r="B19" s="1" t="s">
        <v>61</v>
      </c>
      <c r="C19" t="s">
        <v>27</v>
      </c>
      <c r="G19" t="s">
        <v>52</v>
      </c>
      <c r="H19" s="24">
        <f>+($H$3-P8)/$H$3</f>
        <v>0.98730098559514778</v>
      </c>
    </row>
    <row r="20" spans="1:8">
      <c r="A20" t="s">
        <v>55</v>
      </c>
      <c r="B20" s="1">
        <v>1</v>
      </c>
      <c r="C20" t="s">
        <v>56</v>
      </c>
    </row>
    <row r="21" spans="1:8">
      <c r="A21" t="s">
        <v>57</v>
      </c>
      <c r="B21" s="17">
        <v>0.7</v>
      </c>
      <c r="C21" t="s">
        <v>58</v>
      </c>
    </row>
    <row r="22" spans="1:8">
      <c r="A22" t="s">
        <v>59</v>
      </c>
      <c r="B22" s="1">
        <v>600</v>
      </c>
      <c r="C22" t="s">
        <v>60</v>
      </c>
    </row>
    <row r="25" spans="1:8">
      <c r="A25" s="10" t="s">
        <v>211</v>
      </c>
    </row>
    <row r="26" spans="1:8">
      <c r="A26" t="s">
        <v>212</v>
      </c>
      <c r="B26" s="1">
        <v>15.7</v>
      </c>
      <c r="C26" t="s">
        <v>65</v>
      </c>
    </row>
    <row r="27" spans="1:8">
      <c r="A27" t="s">
        <v>213</v>
      </c>
      <c r="B27" s="1">
        <v>0.8</v>
      </c>
      <c r="C27" t="s">
        <v>64</v>
      </c>
    </row>
    <row r="30" spans="1:8">
      <c r="A30" s="10" t="s">
        <v>52</v>
      </c>
    </row>
    <row r="31" spans="1:8">
      <c r="A31" t="s">
        <v>54</v>
      </c>
      <c r="B31" s="1">
        <v>14400</v>
      </c>
      <c r="C31" t="s">
        <v>27</v>
      </c>
    </row>
    <row r="32" spans="1:8">
      <c r="A32" t="s">
        <v>55</v>
      </c>
      <c r="B32" s="1">
        <v>2</v>
      </c>
      <c r="C32" t="s">
        <v>56</v>
      </c>
    </row>
    <row r="33" spans="1:3">
      <c r="A33" t="s">
        <v>57</v>
      </c>
      <c r="B33" s="17">
        <v>1.2</v>
      </c>
      <c r="C33" t="s">
        <v>58</v>
      </c>
    </row>
    <row r="34" spans="1:3">
      <c r="A34" t="s">
        <v>59</v>
      </c>
      <c r="B34" s="1">
        <v>800</v>
      </c>
      <c r="C34" t="s">
        <v>60</v>
      </c>
    </row>
    <row r="35" spans="1:3">
      <c r="C35" s="21"/>
    </row>
    <row r="36" spans="1:3">
      <c r="C36" s="21"/>
    </row>
    <row r="37" spans="1:3">
      <c r="A37" s="10" t="s">
        <v>73</v>
      </c>
      <c r="C37" s="21"/>
    </row>
    <row r="38" spans="1:3">
      <c r="A38" t="s">
        <v>69</v>
      </c>
      <c r="B38" s="1">
        <v>5.5</v>
      </c>
      <c r="C38" t="s">
        <v>65</v>
      </c>
    </row>
    <row r="39" spans="1:3">
      <c r="A39" t="s">
        <v>74</v>
      </c>
      <c r="B39" s="1">
        <v>1000</v>
      </c>
      <c r="C39" t="s">
        <v>75</v>
      </c>
    </row>
    <row r="40" spans="1:3">
      <c r="A40" t="s">
        <v>76</v>
      </c>
      <c r="B40" s="17">
        <v>8</v>
      </c>
      <c r="C40" t="s">
        <v>77</v>
      </c>
    </row>
    <row r="41" spans="1:3">
      <c r="A41" t="s">
        <v>79</v>
      </c>
      <c r="B41" s="1">
        <v>760</v>
      </c>
      <c r="C41" t="s">
        <v>78</v>
      </c>
    </row>
    <row r="42" spans="1:3">
      <c r="A42" t="s">
        <v>81</v>
      </c>
      <c r="B42" s="1">
        <v>120</v>
      </c>
      <c r="C42" t="s">
        <v>80</v>
      </c>
    </row>
  </sheetData>
  <mergeCells count="5">
    <mergeCell ref="H6:I6"/>
    <mergeCell ref="J6:K6"/>
    <mergeCell ref="L6:M6"/>
    <mergeCell ref="N6:O6"/>
    <mergeCell ref="P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Produccion</vt:lpstr>
      <vt:lpstr>Horas Hombre</vt:lpstr>
      <vt:lpstr>Cuello de Botella</vt:lpstr>
      <vt:lpstr>Volumen de Produccion</vt:lpstr>
      <vt:lpstr>Stock Prom - Evolucion de Venta</vt:lpstr>
      <vt:lpstr>MP - MeCySE</vt:lpstr>
      <vt:lpstr>Evolucion de Mercaderia</vt:lpstr>
      <vt:lpstr>Maquinas Especificaciones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usuario</cp:lastModifiedBy>
  <dcterms:created xsi:type="dcterms:W3CDTF">2016-06-09T02:31:29Z</dcterms:created>
  <dcterms:modified xsi:type="dcterms:W3CDTF">2016-08-16T14:59:18Z</dcterms:modified>
</cp:coreProperties>
</file>