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98F21DB4-0E92-40C2-9DB4-A28D6D667F8E}" xr6:coauthVersionLast="37" xr6:coauthVersionMax="37" xr10:uidLastSave="{00000000-0000-0000-0000-000000000000}"/>
  <bookViews>
    <workbookView xWindow="0" yWindow="0" windowWidth="20490" windowHeight="6645" tabRatio="847" firstSheet="2" activeTab="11" xr2:uid="{2A2BF33C-B358-40CC-9A68-E8CFBE2ED04F}"/>
  </bookViews>
  <sheets>
    <sheet name="Ejercicio 1" sheetId="2" r:id="rId1"/>
    <sheet name="Ejercicio 2" sheetId="3" r:id="rId2"/>
    <sheet name="Ejercicio 3" sheetId="4" r:id="rId3"/>
    <sheet name="Ejercicio 4" sheetId="5" r:id="rId4"/>
    <sheet name="Ejercicio 5" sheetId="6" r:id="rId5"/>
    <sheet name="Ejercicio 6" sheetId="7" r:id="rId6"/>
    <sheet name="Ejercicio 7" sheetId="8" r:id="rId7"/>
    <sheet name="Ejercicio 8" sheetId="9" r:id="rId8"/>
    <sheet name="Ejercicio 9" sheetId="10" r:id="rId9"/>
    <sheet name="Ejercicio 10" sheetId="11" r:id="rId10"/>
    <sheet name="Ejercicio 11" sheetId="12" r:id="rId11"/>
    <sheet name="Cronograma Ejecucion" sheetId="13" r:id="rId1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1" l="1"/>
  <c r="F4" i="12"/>
  <c r="F6" i="12" s="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D129" i="11"/>
  <c r="D117" i="11"/>
  <c r="D115" i="11"/>
  <c r="D111" i="11"/>
  <c r="D109" i="11"/>
  <c r="D107" i="11"/>
  <c r="D103" i="11"/>
  <c r="D101" i="11"/>
  <c r="D95" i="11"/>
  <c r="F43" i="11"/>
  <c r="D132" i="11" s="1"/>
  <c r="F41" i="11"/>
  <c r="D130" i="11" s="1"/>
  <c r="F40" i="11"/>
  <c r="F39" i="11"/>
  <c r="D128" i="11" s="1"/>
  <c r="F35" i="11"/>
  <c r="D124" i="11" s="1"/>
  <c r="F34" i="11"/>
  <c r="D123" i="11" s="1"/>
  <c r="F33" i="11"/>
  <c r="D122" i="11" s="1"/>
  <c r="F27" i="11"/>
  <c r="D116" i="11" s="1"/>
  <c r="F26" i="11"/>
  <c r="F25" i="11"/>
  <c r="D114" i="11" s="1"/>
  <c r="F22" i="11"/>
  <c r="F18" i="11"/>
  <c r="F17" i="11"/>
  <c r="D106" i="11" s="1"/>
  <c r="F16" i="11"/>
  <c r="D105" i="11" s="1"/>
  <c r="F28" i="11"/>
  <c r="F21" i="11"/>
  <c r="D110" i="11" s="1"/>
  <c r="F20" i="11"/>
  <c r="F19" i="11"/>
  <c r="D108" i="11" s="1"/>
  <c r="F15" i="11"/>
  <c r="D104" i="11" s="1"/>
  <c r="F14" i="11"/>
  <c r="F12" i="11"/>
  <c r="F10" i="11"/>
  <c r="D99" i="11" s="1"/>
  <c r="F9" i="11"/>
  <c r="D98" i="11" s="1"/>
  <c r="F8" i="11"/>
  <c r="D97" i="11" s="1"/>
  <c r="F6" i="11"/>
  <c r="F5" i="11"/>
  <c r="D94" i="11" s="1"/>
  <c r="F4" i="11"/>
  <c r="D93" i="11" s="1"/>
  <c r="F7" i="11"/>
  <c r="D96" i="11" s="1"/>
  <c r="A107" i="11"/>
  <c r="O88" i="11"/>
  <c r="N88" i="11"/>
  <c r="M88" i="11"/>
  <c r="L88" i="11"/>
  <c r="J88" i="11"/>
  <c r="I88" i="11"/>
  <c r="H88" i="11"/>
  <c r="G88" i="11"/>
  <c r="E88" i="11"/>
  <c r="D88" i="11"/>
  <c r="O87" i="11"/>
  <c r="M87" i="11"/>
  <c r="L87" i="11"/>
  <c r="K87" i="11"/>
  <c r="J87" i="11"/>
  <c r="H87" i="11"/>
  <c r="G87" i="11"/>
  <c r="F87" i="11"/>
  <c r="E87" i="11"/>
  <c r="O86" i="11"/>
  <c r="N86" i="11"/>
  <c r="M86" i="11"/>
  <c r="L86" i="11"/>
  <c r="J86" i="11"/>
  <c r="I86" i="11"/>
  <c r="H86" i="11"/>
  <c r="G86" i="11"/>
  <c r="E86" i="11"/>
  <c r="D86" i="11"/>
  <c r="O85" i="11"/>
  <c r="N85" i="11"/>
  <c r="M85" i="11"/>
  <c r="L85" i="11"/>
  <c r="J85" i="11"/>
  <c r="I85" i="11"/>
  <c r="H85" i="11"/>
  <c r="G85" i="11"/>
  <c r="E85" i="11"/>
  <c r="D85" i="11"/>
  <c r="O84" i="11"/>
  <c r="N84" i="11"/>
  <c r="M84" i="11"/>
  <c r="L84" i="11"/>
  <c r="J84" i="11"/>
  <c r="I84" i="11"/>
  <c r="H84" i="11"/>
  <c r="G84" i="11"/>
  <c r="E84" i="11"/>
  <c r="D84" i="11"/>
  <c r="O83" i="11"/>
  <c r="M83" i="11"/>
  <c r="L83" i="11"/>
  <c r="K83" i="11"/>
  <c r="J83" i="11"/>
  <c r="H83" i="11"/>
  <c r="G83" i="11"/>
  <c r="F83" i="11"/>
  <c r="E83" i="11"/>
  <c r="O82" i="11"/>
  <c r="M82" i="11"/>
  <c r="L82" i="11"/>
  <c r="K82" i="11"/>
  <c r="J82" i="11"/>
  <c r="H82" i="11"/>
  <c r="G82" i="11"/>
  <c r="F82" i="11"/>
  <c r="E82" i="11"/>
  <c r="O81" i="11"/>
  <c r="M81" i="11"/>
  <c r="L81" i="11"/>
  <c r="K81" i="11"/>
  <c r="J81" i="11"/>
  <c r="H81" i="11"/>
  <c r="G81" i="11"/>
  <c r="F81" i="11"/>
  <c r="E81" i="11"/>
  <c r="O80" i="11"/>
  <c r="N80" i="11"/>
  <c r="M80" i="11"/>
  <c r="L80" i="11"/>
  <c r="J80" i="11"/>
  <c r="I80" i="11"/>
  <c r="H80" i="11"/>
  <c r="G80" i="11"/>
  <c r="E80" i="11"/>
  <c r="D80" i="11"/>
  <c r="O79" i="11"/>
  <c r="N79" i="11"/>
  <c r="M79" i="11"/>
  <c r="L79" i="11"/>
  <c r="J79" i="11"/>
  <c r="I79" i="11"/>
  <c r="H79" i="11"/>
  <c r="G79" i="11"/>
  <c r="E79" i="11"/>
  <c r="D79" i="11"/>
  <c r="O78" i="11"/>
  <c r="N78" i="11"/>
  <c r="M78" i="11"/>
  <c r="L78" i="11"/>
  <c r="J78" i="11"/>
  <c r="I78" i="11"/>
  <c r="H78" i="11"/>
  <c r="G78" i="11"/>
  <c r="E78" i="11"/>
  <c r="D78" i="11"/>
  <c r="O77" i="11"/>
  <c r="M77" i="11"/>
  <c r="L77" i="11"/>
  <c r="K77" i="11"/>
  <c r="J77" i="11"/>
  <c r="H77" i="11"/>
  <c r="G77" i="11"/>
  <c r="F77" i="11"/>
  <c r="E77" i="11"/>
  <c r="O76" i="11"/>
  <c r="M76" i="11"/>
  <c r="L76" i="11"/>
  <c r="K76" i="11"/>
  <c r="J76" i="11"/>
  <c r="H76" i="11"/>
  <c r="G76" i="11"/>
  <c r="F76" i="11"/>
  <c r="E76" i="11"/>
  <c r="O75" i="11"/>
  <c r="M75" i="11"/>
  <c r="L75" i="11"/>
  <c r="K75" i="11"/>
  <c r="J75" i="11"/>
  <c r="H75" i="11"/>
  <c r="G75" i="11"/>
  <c r="F75" i="11"/>
  <c r="E75" i="11"/>
  <c r="O74" i="11"/>
  <c r="M74" i="11"/>
  <c r="L74" i="11"/>
  <c r="K74" i="11"/>
  <c r="J74" i="11"/>
  <c r="H74" i="11"/>
  <c r="G74" i="11"/>
  <c r="F74" i="11"/>
  <c r="E74" i="11"/>
  <c r="N73" i="11"/>
  <c r="L73" i="11"/>
  <c r="K73" i="11"/>
  <c r="I73" i="11"/>
  <c r="G73" i="11"/>
  <c r="F73" i="11"/>
  <c r="D73" i="11"/>
  <c r="O72" i="11"/>
  <c r="N72" i="11"/>
  <c r="M72" i="11"/>
  <c r="K72" i="11"/>
  <c r="J72" i="11"/>
  <c r="I72" i="11"/>
  <c r="H72" i="11"/>
  <c r="F72" i="11"/>
  <c r="E72" i="11"/>
  <c r="D72" i="11"/>
  <c r="O71" i="11"/>
  <c r="N71" i="11"/>
  <c r="M71" i="11"/>
  <c r="K71" i="11"/>
  <c r="J71" i="11"/>
  <c r="I71" i="11"/>
  <c r="H71" i="11"/>
  <c r="F71" i="11"/>
  <c r="E71" i="11"/>
  <c r="D71" i="11"/>
  <c r="O70" i="11"/>
  <c r="N70" i="11"/>
  <c r="M70" i="11"/>
  <c r="K70" i="11"/>
  <c r="J70" i="11"/>
  <c r="I70" i="11"/>
  <c r="H70" i="11"/>
  <c r="F70" i="11"/>
  <c r="E70" i="11"/>
  <c r="D70" i="11"/>
  <c r="O69" i="11"/>
  <c r="M69" i="11"/>
  <c r="L69" i="11"/>
  <c r="K69" i="11"/>
  <c r="J69" i="11"/>
  <c r="H69" i="11"/>
  <c r="G69" i="11"/>
  <c r="F69" i="11"/>
  <c r="E69" i="11"/>
  <c r="O68" i="11"/>
  <c r="M68" i="11"/>
  <c r="L68" i="11"/>
  <c r="K68" i="11"/>
  <c r="J68" i="11"/>
  <c r="H68" i="11"/>
  <c r="G68" i="11"/>
  <c r="F68" i="11"/>
  <c r="E68" i="11"/>
  <c r="O67" i="11"/>
  <c r="N67" i="11"/>
  <c r="M67" i="11"/>
  <c r="K67" i="11"/>
  <c r="J67" i="11"/>
  <c r="I67" i="11"/>
  <c r="H67" i="11"/>
  <c r="F67" i="11"/>
  <c r="E67" i="11"/>
  <c r="D67" i="11"/>
  <c r="N66" i="11"/>
  <c r="L66" i="11"/>
  <c r="K66" i="11"/>
  <c r="I66" i="11"/>
  <c r="G66" i="11"/>
  <c r="F66" i="11"/>
  <c r="D66" i="11"/>
  <c r="N65" i="11"/>
  <c r="L65" i="11"/>
  <c r="K65" i="11"/>
  <c r="I65" i="11"/>
  <c r="G65" i="11"/>
  <c r="F65" i="11"/>
  <c r="D65" i="11"/>
  <c r="N64" i="11"/>
  <c r="L64" i="11"/>
  <c r="K64" i="11"/>
  <c r="I64" i="11"/>
  <c r="G64" i="11"/>
  <c r="F64" i="11"/>
  <c r="D64" i="11"/>
  <c r="O63" i="11"/>
  <c r="N63" i="11"/>
  <c r="M63" i="11"/>
  <c r="K63" i="11"/>
  <c r="J63" i="11"/>
  <c r="I63" i="11"/>
  <c r="H63" i="11"/>
  <c r="F63" i="11"/>
  <c r="E63" i="11"/>
  <c r="D63" i="11"/>
  <c r="N62" i="11"/>
  <c r="L62" i="11"/>
  <c r="K62" i="11"/>
  <c r="I62" i="11"/>
  <c r="G62" i="11"/>
  <c r="F62" i="11"/>
  <c r="D62" i="11"/>
  <c r="N61" i="11"/>
  <c r="L61" i="11"/>
  <c r="K61" i="11"/>
  <c r="I61" i="11"/>
  <c r="G61" i="11"/>
  <c r="F61" i="11"/>
  <c r="D61" i="11"/>
  <c r="N60" i="11"/>
  <c r="L60" i="11"/>
  <c r="K60" i="11"/>
  <c r="I60" i="11"/>
  <c r="G60" i="11"/>
  <c r="F60" i="11"/>
  <c r="D60" i="11"/>
  <c r="N59" i="11"/>
  <c r="L59" i="11"/>
  <c r="K59" i="11"/>
  <c r="I59" i="11"/>
  <c r="G59" i="11"/>
  <c r="F59" i="11"/>
  <c r="D59" i="11"/>
  <c r="O58" i="11"/>
  <c r="M58" i="11"/>
  <c r="L58" i="11"/>
  <c r="K58" i="11"/>
  <c r="J58" i="11"/>
  <c r="H58" i="11"/>
  <c r="G58" i="11"/>
  <c r="F58" i="11"/>
  <c r="E58" i="11"/>
  <c r="O57" i="11"/>
  <c r="N57" i="11"/>
  <c r="M57" i="11"/>
  <c r="L57" i="11"/>
  <c r="J57" i="11"/>
  <c r="I57" i="11"/>
  <c r="H57" i="11"/>
  <c r="G57" i="11"/>
  <c r="E57" i="11"/>
  <c r="D57" i="11"/>
  <c r="O56" i="11"/>
  <c r="M56" i="11"/>
  <c r="L56" i="11"/>
  <c r="K56" i="11"/>
  <c r="J56" i="11"/>
  <c r="H56" i="11"/>
  <c r="G56" i="11"/>
  <c r="F56" i="11"/>
  <c r="E56" i="11"/>
  <c r="O55" i="11"/>
  <c r="N55" i="11"/>
  <c r="M55" i="11"/>
  <c r="L55" i="11"/>
  <c r="J55" i="11"/>
  <c r="I55" i="11"/>
  <c r="H55" i="11"/>
  <c r="G55" i="11"/>
  <c r="E55" i="11"/>
  <c r="D55" i="11"/>
  <c r="O54" i="11"/>
  <c r="N54" i="11"/>
  <c r="M54" i="11"/>
  <c r="L54" i="11"/>
  <c r="J54" i="11"/>
  <c r="I54" i="11"/>
  <c r="H54" i="11"/>
  <c r="G54" i="11"/>
  <c r="E54" i="11"/>
  <c r="D54" i="11"/>
  <c r="N53" i="11"/>
  <c r="L53" i="11"/>
  <c r="K53" i="11"/>
  <c r="I53" i="11"/>
  <c r="G53" i="11"/>
  <c r="F53" i="11"/>
  <c r="D53" i="11"/>
  <c r="N52" i="11"/>
  <c r="L52" i="11"/>
  <c r="K52" i="11"/>
  <c r="I52" i="11"/>
  <c r="G52" i="11"/>
  <c r="F52" i="11"/>
  <c r="D52" i="11"/>
  <c r="N51" i="11"/>
  <c r="L51" i="11"/>
  <c r="K51" i="11"/>
  <c r="I51" i="11"/>
  <c r="G51" i="11"/>
  <c r="F51" i="11"/>
  <c r="D51" i="11"/>
  <c r="N50" i="11"/>
  <c r="L50" i="11"/>
  <c r="K50" i="11"/>
  <c r="I50" i="11"/>
  <c r="G50" i="11"/>
  <c r="F50" i="11"/>
  <c r="D50" i="11"/>
  <c r="N49" i="11"/>
  <c r="L49" i="11"/>
  <c r="K49" i="11"/>
  <c r="I49" i="11"/>
  <c r="G49" i="11"/>
  <c r="F49" i="11"/>
  <c r="D49" i="11"/>
  <c r="A88" i="11"/>
  <c r="A132" i="11" s="1"/>
  <c r="A87" i="11"/>
  <c r="A131" i="11" s="1"/>
  <c r="A86" i="11"/>
  <c r="A130" i="11" s="1"/>
  <c r="A85" i="11"/>
  <c r="A129" i="11" s="1"/>
  <c r="A84" i="11"/>
  <c r="A128" i="11" s="1"/>
  <c r="A83" i="11"/>
  <c r="A127" i="11" s="1"/>
  <c r="A82" i="11"/>
  <c r="A126" i="11" s="1"/>
  <c r="A81" i="11"/>
  <c r="A125" i="11" s="1"/>
  <c r="A80" i="11"/>
  <c r="A124" i="11" s="1"/>
  <c r="A79" i="11"/>
  <c r="A123" i="11" s="1"/>
  <c r="A78" i="11"/>
  <c r="A122" i="11" s="1"/>
  <c r="A77" i="11"/>
  <c r="A121" i="11" s="1"/>
  <c r="A76" i="11"/>
  <c r="A120" i="11" s="1"/>
  <c r="A75" i="11"/>
  <c r="A119" i="11" s="1"/>
  <c r="A74" i="11"/>
  <c r="A118" i="11" s="1"/>
  <c r="A73" i="11"/>
  <c r="A117" i="11" s="1"/>
  <c r="A72" i="11"/>
  <c r="A116" i="11" s="1"/>
  <c r="A71" i="11"/>
  <c r="A115" i="11" s="1"/>
  <c r="A70" i="11"/>
  <c r="A114" i="11" s="1"/>
  <c r="A69" i="11"/>
  <c r="A113" i="11" s="1"/>
  <c r="A68" i="11"/>
  <c r="A112" i="11" s="1"/>
  <c r="A67" i="11"/>
  <c r="A111" i="11" s="1"/>
  <c r="A66" i="11"/>
  <c r="A110" i="11" s="1"/>
  <c r="A65" i="11"/>
  <c r="A109" i="11" s="1"/>
  <c r="A64" i="11"/>
  <c r="A108" i="11" s="1"/>
  <c r="A63" i="11"/>
  <c r="A62" i="11"/>
  <c r="A106" i="11" s="1"/>
  <c r="A61" i="11"/>
  <c r="A105" i="11" s="1"/>
  <c r="A60" i="11"/>
  <c r="A104" i="11" s="1"/>
  <c r="A59" i="11"/>
  <c r="A103" i="11" s="1"/>
  <c r="A58" i="11"/>
  <c r="A102" i="11" s="1"/>
  <c r="A57" i="11"/>
  <c r="A101" i="11" s="1"/>
  <c r="A56" i="11"/>
  <c r="A100" i="11" s="1"/>
  <c r="A55" i="11"/>
  <c r="A99" i="11" s="1"/>
  <c r="A54" i="11"/>
  <c r="A98" i="11" s="1"/>
  <c r="A53" i="11"/>
  <c r="A97" i="11" s="1"/>
  <c r="A52" i="11"/>
  <c r="A96" i="11" s="1"/>
  <c r="A51" i="11"/>
  <c r="A95" i="11" s="1"/>
  <c r="A50" i="11"/>
  <c r="A94" i="11" s="1"/>
  <c r="A49" i="11"/>
  <c r="A93" i="11" s="1"/>
  <c r="B43" i="11" l="1"/>
  <c r="B88" i="11" s="1"/>
  <c r="B42" i="11"/>
  <c r="G42" i="11" s="1"/>
  <c r="B41" i="11"/>
  <c r="B40" i="11"/>
  <c r="B39" i="11"/>
  <c r="B38" i="11"/>
  <c r="B37" i="11"/>
  <c r="B36" i="11"/>
  <c r="G36" i="11" s="1"/>
  <c r="B35" i="11"/>
  <c r="B34" i="11"/>
  <c r="B33" i="11"/>
  <c r="B32" i="11"/>
  <c r="B31" i="11"/>
  <c r="AA31" i="11" s="1"/>
  <c r="N76" i="11" s="1"/>
  <c r="B30" i="11"/>
  <c r="B29" i="11"/>
  <c r="B28" i="11"/>
  <c r="B27" i="11"/>
  <c r="B26" i="11"/>
  <c r="M26" i="11" s="1"/>
  <c r="G71" i="11" s="1"/>
  <c r="B25" i="11"/>
  <c r="B24" i="11"/>
  <c r="B23" i="11"/>
  <c r="Q23" i="11" s="1"/>
  <c r="I68" i="11" s="1"/>
  <c r="B22" i="11"/>
  <c r="B21" i="11"/>
  <c r="B20" i="11"/>
  <c r="B19" i="11"/>
  <c r="B18" i="11"/>
  <c r="B17" i="11"/>
  <c r="Y17" i="11" s="1"/>
  <c r="M62" i="11" s="1"/>
  <c r="B16" i="11"/>
  <c r="I16" i="11" s="1"/>
  <c r="B15" i="11"/>
  <c r="B14" i="11"/>
  <c r="B13" i="11"/>
  <c r="B12" i="11"/>
  <c r="B11" i="11"/>
  <c r="B10" i="11"/>
  <c r="B9" i="11"/>
  <c r="U9" i="11" s="1"/>
  <c r="K54" i="11" s="1"/>
  <c r="B8" i="11"/>
  <c r="B7" i="11"/>
  <c r="B6" i="11"/>
  <c r="B5" i="11"/>
  <c r="B4" i="11"/>
  <c r="B49" i="11" s="1"/>
  <c r="D43" i="11"/>
  <c r="H43" i="11" s="1"/>
  <c r="E132" i="11" s="1"/>
  <c r="D42" i="11"/>
  <c r="D41" i="11"/>
  <c r="H41" i="11" s="1"/>
  <c r="E130" i="11" s="1"/>
  <c r="D40" i="11"/>
  <c r="H40" i="11" s="1"/>
  <c r="E129" i="11" s="1"/>
  <c r="D39" i="11"/>
  <c r="H39" i="11" s="1"/>
  <c r="E128" i="11" s="1"/>
  <c r="D38" i="11"/>
  <c r="D37" i="11"/>
  <c r="D36" i="11"/>
  <c r="D35" i="11"/>
  <c r="H35" i="11" s="1"/>
  <c r="E124" i="11" s="1"/>
  <c r="D34" i="11"/>
  <c r="H34" i="11" s="1"/>
  <c r="E123" i="11" s="1"/>
  <c r="D33" i="11"/>
  <c r="H33" i="11" s="1"/>
  <c r="E122" i="11" s="1"/>
  <c r="D32" i="11"/>
  <c r="D31" i="11"/>
  <c r="D30" i="11"/>
  <c r="D29" i="11"/>
  <c r="D28" i="11"/>
  <c r="D27" i="11"/>
  <c r="H27" i="11" s="1"/>
  <c r="E116" i="11" s="1"/>
  <c r="D26" i="11"/>
  <c r="H26" i="11" s="1"/>
  <c r="E115" i="11" s="1"/>
  <c r="D25" i="11"/>
  <c r="H25" i="11" s="1"/>
  <c r="E114" i="11" s="1"/>
  <c r="D24" i="11"/>
  <c r="D23" i="11"/>
  <c r="D22" i="11"/>
  <c r="H22" i="11" s="1"/>
  <c r="E111" i="11" s="1"/>
  <c r="D21" i="11"/>
  <c r="D20" i="11"/>
  <c r="D19" i="11"/>
  <c r="D18" i="11"/>
  <c r="H18" i="11" s="1"/>
  <c r="E107" i="11" s="1"/>
  <c r="D17" i="11"/>
  <c r="D16" i="11"/>
  <c r="D15" i="11"/>
  <c r="D14" i="11"/>
  <c r="D13" i="11"/>
  <c r="D12" i="11"/>
  <c r="H12" i="11" s="1"/>
  <c r="E101" i="11" s="1"/>
  <c r="D11" i="11"/>
  <c r="D10" i="11"/>
  <c r="H10" i="11" s="1"/>
  <c r="E99" i="11" s="1"/>
  <c r="D9" i="11"/>
  <c r="H9" i="11" s="1"/>
  <c r="E98" i="11" s="1"/>
  <c r="D8" i="11"/>
  <c r="D7" i="11"/>
  <c r="D6" i="11"/>
  <c r="D5" i="11"/>
  <c r="D4" i="11"/>
  <c r="C43" i="11"/>
  <c r="C88" i="11" s="1"/>
  <c r="C132" i="11" s="1"/>
  <c r="C42" i="11"/>
  <c r="C87" i="11" s="1"/>
  <c r="C131" i="11" s="1"/>
  <c r="C41" i="11"/>
  <c r="C86" i="11" s="1"/>
  <c r="C130" i="11" s="1"/>
  <c r="C40" i="11"/>
  <c r="C85" i="11" s="1"/>
  <c r="C129" i="11" s="1"/>
  <c r="C39" i="11"/>
  <c r="C84" i="11" s="1"/>
  <c r="C128" i="11" s="1"/>
  <c r="C38" i="11"/>
  <c r="C83" i="11" s="1"/>
  <c r="C127" i="11" s="1"/>
  <c r="C37" i="11"/>
  <c r="C82" i="11" s="1"/>
  <c r="C126" i="11" s="1"/>
  <c r="C36" i="11"/>
  <c r="C81" i="11" s="1"/>
  <c r="C125" i="11" s="1"/>
  <c r="C35" i="11"/>
  <c r="C80" i="11" s="1"/>
  <c r="C124" i="11" s="1"/>
  <c r="C34" i="11"/>
  <c r="C79" i="11" s="1"/>
  <c r="C123" i="11" s="1"/>
  <c r="C33" i="11"/>
  <c r="C78" i="11" s="1"/>
  <c r="C122" i="11" s="1"/>
  <c r="C32" i="11"/>
  <c r="C77" i="11" s="1"/>
  <c r="C121" i="11" s="1"/>
  <c r="C31" i="11"/>
  <c r="C76" i="11" s="1"/>
  <c r="C120" i="11" s="1"/>
  <c r="C30" i="11"/>
  <c r="C75" i="11" s="1"/>
  <c r="C119" i="11" s="1"/>
  <c r="C29" i="11"/>
  <c r="C74" i="11" s="1"/>
  <c r="C118" i="11" s="1"/>
  <c r="C28" i="11"/>
  <c r="C73" i="11" s="1"/>
  <c r="C117" i="11" s="1"/>
  <c r="C27" i="11"/>
  <c r="C72" i="11" s="1"/>
  <c r="C116" i="11" s="1"/>
  <c r="C26" i="11"/>
  <c r="C71" i="11" s="1"/>
  <c r="C115" i="11" s="1"/>
  <c r="C25" i="11"/>
  <c r="C70" i="11" s="1"/>
  <c r="C114" i="11" s="1"/>
  <c r="C24" i="11"/>
  <c r="C69" i="11" s="1"/>
  <c r="C113" i="11" s="1"/>
  <c r="C23" i="11"/>
  <c r="C68" i="11" s="1"/>
  <c r="C112" i="11" s="1"/>
  <c r="C22" i="11"/>
  <c r="C67" i="11" s="1"/>
  <c r="C111" i="11" s="1"/>
  <c r="C21" i="11"/>
  <c r="C66" i="11" s="1"/>
  <c r="C110" i="11" s="1"/>
  <c r="C20" i="11"/>
  <c r="C65" i="11" s="1"/>
  <c r="C109" i="11" s="1"/>
  <c r="C19" i="11"/>
  <c r="C64" i="11" s="1"/>
  <c r="C108" i="11" s="1"/>
  <c r="C18" i="11"/>
  <c r="C63" i="11" s="1"/>
  <c r="C107" i="11" s="1"/>
  <c r="C17" i="11"/>
  <c r="C62" i="11" s="1"/>
  <c r="C106" i="11" s="1"/>
  <c r="C16" i="11"/>
  <c r="C61" i="11" s="1"/>
  <c r="C105" i="11" s="1"/>
  <c r="C15" i="11"/>
  <c r="C60" i="11" s="1"/>
  <c r="C104" i="11" s="1"/>
  <c r="C14" i="11"/>
  <c r="C59" i="11" s="1"/>
  <c r="C103" i="11" s="1"/>
  <c r="C13" i="11"/>
  <c r="C58" i="11" s="1"/>
  <c r="C102" i="11" s="1"/>
  <c r="C12" i="11"/>
  <c r="C57" i="11" s="1"/>
  <c r="C101" i="11" s="1"/>
  <c r="C11" i="11"/>
  <c r="C56" i="11" s="1"/>
  <c r="C100" i="11" s="1"/>
  <c r="C10" i="11"/>
  <c r="C55" i="11" s="1"/>
  <c r="C99" i="11" s="1"/>
  <c r="C9" i="11"/>
  <c r="C54" i="11" s="1"/>
  <c r="C98" i="11" s="1"/>
  <c r="C8" i="11"/>
  <c r="C53" i="11" s="1"/>
  <c r="C97" i="11" s="1"/>
  <c r="C7" i="11"/>
  <c r="C52" i="11" s="1"/>
  <c r="C96" i="11" s="1"/>
  <c r="C6" i="11"/>
  <c r="C51" i="11" s="1"/>
  <c r="C95" i="11" s="1"/>
  <c r="C50" i="11"/>
  <c r="C94" i="11" s="1"/>
  <c r="C4" i="11"/>
  <c r="C49" i="11" s="1"/>
  <c r="C93" i="11" s="1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AZ38" i="2"/>
  <c r="AW38" i="2"/>
  <c r="AT38" i="2"/>
  <c r="AQ38" i="2"/>
  <c r="AN38" i="2"/>
  <c r="AK38" i="2"/>
  <c r="AH38" i="2"/>
  <c r="AE38" i="2"/>
  <c r="AB38" i="2"/>
  <c r="Y38" i="2"/>
  <c r="V38" i="2"/>
  <c r="S38" i="2"/>
  <c r="P38" i="2"/>
  <c r="M38" i="2"/>
  <c r="J38" i="2"/>
  <c r="G38" i="2"/>
  <c r="DQ31" i="2"/>
  <c r="DQ30" i="2"/>
  <c r="DQ29" i="2" s="1"/>
  <c r="DN31" i="2"/>
  <c r="DN30" i="2" s="1"/>
  <c r="DN29" i="2" s="1"/>
  <c r="DK31" i="2"/>
  <c r="DK30" i="2" s="1"/>
  <c r="DK29" i="2" s="1"/>
  <c r="DH31" i="2"/>
  <c r="DH30" i="2"/>
  <c r="DH29" i="2" s="1"/>
  <c r="DE31" i="2"/>
  <c r="DE30" i="2" s="1"/>
  <c r="DE29" i="2" s="1"/>
  <c r="DB31" i="2"/>
  <c r="DB30" i="2" s="1"/>
  <c r="DB29" i="2" s="1"/>
  <c r="CY31" i="2"/>
  <c r="CY30" i="2"/>
  <c r="CY29" i="2"/>
  <c r="CY26" i="2" s="1"/>
  <c r="CY25" i="2" s="1"/>
  <c r="CY24" i="2" s="1"/>
  <c r="CY23" i="2" s="1"/>
  <c r="CY28" i="2"/>
  <c r="CY27" i="2" s="1"/>
  <c r="CV31" i="2"/>
  <c r="CV30" i="2"/>
  <c r="CV29" i="2"/>
  <c r="CV26" i="2" s="1"/>
  <c r="CV25" i="2" s="1"/>
  <c r="CV24" i="2" s="1"/>
  <c r="CV23" i="2" s="1"/>
  <c r="CV28" i="2"/>
  <c r="CV27" i="2" s="1"/>
  <c r="CV35" i="2" s="1"/>
  <c r="CV34" i="2" s="1"/>
  <c r="CS31" i="2"/>
  <c r="CS30" i="2"/>
  <c r="CS29" i="2" s="1"/>
  <c r="CP31" i="2"/>
  <c r="CP30" i="2" s="1"/>
  <c r="CP29" i="2" s="1"/>
  <c r="CM31" i="2"/>
  <c r="CM30" i="2"/>
  <c r="CM29" i="2" s="1"/>
  <c r="CJ31" i="2"/>
  <c r="CJ30" i="2" s="1"/>
  <c r="CJ29" i="2" s="1"/>
  <c r="CG31" i="2"/>
  <c r="CG30" i="2" s="1"/>
  <c r="CG29" i="2" s="1"/>
  <c r="CD31" i="2"/>
  <c r="CD30" i="2"/>
  <c r="CD29" i="2" s="1"/>
  <c r="CA31" i="2"/>
  <c r="CA30" i="2" s="1"/>
  <c r="CA29" i="2" s="1"/>
  <c r="BX31" i="2"/>
  <c r="BX30" i="2"/>
  <c r="BX29" i="2" s="1"/>
  <c r="BU31" i="2"/>
  <c r="BU30" i="2" s="1"/>
  <c r="BU29" i="2" s="1"/>
  <c r="BR31" i="2"/>
  <c r="BR30" i="2"/>
  <c r="BR29" i="2" s="1"/>
  <c r="BO31" i="2"/>
  <c r="BO30" i="2" s="1"/>
  <c r="BO29" i="2" s="1"/>
  <c r="BL31" i="2"/>
  <c r="BL30" i="2"/>
  <c r="BL29" i="2" s="1"/>
  <c r="BI31" i="2"/>
  <c r="BI30" i="2"/>
  <c r="BI29" i="2" s="1"/>
  <c r="BF31" i="2"/>
  <c r="BF30" i="2"/>
  <c r="BF29" i="2" s="1"/>
  <c r="BC31" i="2"/>
  <c r="BC30" i="2" s="1"/>
  <c r="BC29" i="2" s="1"/>
  <c r="AZ31" i="2"/>
  <c r="AZ30" i="2"/>
  <c r="AZ29" i="2" s="1"/>
  <c r="AW31" i="2"/>
  <c r="AW30" i="2"/>
  <c r="AW29" i="2" s="1"/>
  <c r="AT31" i="2"/>
  <c r="AT30" i="2"/>
  <c r="AT29" i="2" s="1"/>
  <c r="AQ31" i="2"/>
  <c r="AQ30" i="2" s="1"/>
  <c r="AQ29" i="2" s="1"/>
  <c r="AN31" i="2"/>
  <c r="AN30" i="2" s="1"/>
  <c r="AN29" i="2" s="1"/>
  <c r="AK31" i="2"/>
  <c r="AK30" i="2"/>
  <c r="AK29" i="2" s="1"/>
  <c r="AH31" i="2"/>
  <c r="AH30" i="2"/>
  <c r="AH29" i="2" s="1"/>
  <c r="AE31" i="2"/>
  <c r="AE30" i="2"/>
  <c r="AE29" i="2" s="1"/>
  <c r="AB31" i="2"/>
  <c r="AB30" i="2" s="1"/>
  <c r="AB29" i="2" s="1"/>
  <c r="Y31" i="2"/>
  <c r="Y30" i="2" s="1"/>
  <c r="Y29" i="2" s="1"/>
  <c r="V31" i="2"/>
  <c r="V30" i="2"/>
  <c r="V29" i="2" s="1"/>
  <c r="S31" i="2"/>
  <c r="S30" i="2"/>
  <c r="S29" i="2" s="1"/>
  <c r="P31" i="2"/>
  <c r="P30" i="2"/>
  <c r="P29" i="2" s="1"/>
  <c r="M31" i="2"/>
  <c r="M30" i="2" s="1"/>
  <c r="M29" i="2" s="1"/>
  <c r="J31" i="2"/>
  <c r="J30" i="2"/>
  <c r="J29" i="2" s="1"/>
  <c r="G31" i="2"/>
  <c r="G30" i="2" s="1"/>
  <c r="G29" i="2" s="1"/>
  <c r="D31" i="2"/>
  <c r="D30" i="2"/>
  <c r="D29" i="2"/>
  <c r="D26" i="2" s="1"/>
  <c r="D25" i="2" s="1"/>
  <c r="D24" i="2" s="1"/>
  <c r="D23" i="2" s="1"/>
  <c r="CY35" i="2" l="1"/>
  <c r="CY34" i="2" s="1"/>
  <c r="E61" i="11"/>
  <c r="H16" i="11"/>
  <c r="E105" i="11" s="1"/>
  <c r="F42" i="11"/>
  <c r="D87" i="11"/>
  <c r="D81" i="11"/>
  <c r="F36" i="11"/>
  <c r="S4" i="11"/>
  <c r="J49" i="11" s="1"/>
  <c r="M27" i="11"/>
  <c r="G72" i="11" s="1"/>
  <c r="B72" i="11"/>
  <c r="K12" i="11"/>
  <c r="F57" i="11" s="1"/>
  <c r="B57" i="11"/>
  <c r="I20" i="11"/>
  <c r="B65" i="11"/>
  <c r="AC28" i="11"/>
  <c r="O73" i="11" s="1"/>
  <c r="B73" i="11"/>
  <c r="AA36" i="11"/>
  <c r="N81" i="11" s="1"/>
  <c r="B81" i="11"/>
  <c r="Y4" i="11"/>
  <c r="M49" i="11" s="1"/>
  <c r="AC19" i="11"/>
  <c r="O64" i="11" s="1"/>
  <c r="B64" i="11"/>
  <c r="Y5" i="11"/>
  <c r="M50" i="11" s="1"/>
  <c r="B50" i="11"/>
  <c r="AA13" i="11"/>
  <c r="N58" i="11" s="1"/>
  <c r="B58" i="11"/>
  <c r="Y21" i="11"/>
  <c r="M66" i="11" s="1"/>
  <c r="B66" i="11"/>
  <c r="AA29" i="11"/>
  <c r="N74" i="11" s="1"/>
  <c r="B74" i="11"/>
  <c r="AA37" i="11"/>
  <c r="N82" i="11" s="1"/>
  <c r="B82" i="11"/>
  <c r="AC4" i="11"/>
  <c r="O49" i="11" s="1"/>
  <c r="K35" i="11"/>
  <c r="F80" i="11" s="1"/>
  <c r="B80" i="11"/>
  <c r="O6" i="11"/>
  <c r="H51" i="11" s="1"/>
  <c r="B51" i="11"/>
  <c r="O14" i="11"/>
  <c r="H59" i="11" s="1"/>
  <c r="B59" i="11"/>
  <c r="M22" i="11"/>
  <c r="G67" i="11" s="1"/>
  <c r="B67" i="11"/>
  <c r="AA30" i="11"/>
  <c r="N75" i="11" s="1"/>
  <c r="B75" i="11"/>
  <c r="AA38" i="11"/>
  <c r="N83" i="11" s="1"/>
  <c r="B83" i="11"/>
  <c r="W27" i="11"/>
  <c r="L72" i="11" s="1"/>
  <c r="AA11" i="11"/>
  <c r="N56" i="11" s="1"/>
  <c r="B56" i="11"/>
  <c r="O7" i="11"/>
  <c r="H52" i="11" s="1"/>
  <c r="B52" i="11"/>
  <c r="AC15" i="11"/>
  <c r="O60" i="11" s="1"/>
  <c r="B60" i="11"/>
  <c r="G23" i="11"/>
  <c r="B68" i="11"/>
  <c r="Q31" i="11"/>
  <c r="I76" i="11" s="1"/>
  <c r="B76" i="11"/>
  <c r="K39" i="11"/>
  <c r="F84" i="11" s="1"/>
  <c r="B84" i="11"/>
  <c r="I4" i="11"/>
  <c r="K43" i="11"/>
  <c r="F88" i="11" s="1"/>
  <c r="AC8" i="11"/>
  <c r="O53" i="11" s="1"/>
  <c r="B53" i="11"/>
  <c r="AC16" i="11"/>
  <c r="O61" i="11" s="1"/>
  <c r="B61" i="11"/>
  <c r="AA24" i="11"/>
  <c r="N69" i="11" s="1"/>
  <c r="B69" i="11"/>
  <c r="AA32" i="11"/>
  <c r="N77" i="11" s="1"/>
  <c r="B77" i="11"/>
  <c r="K40" i="11"/>
  <c r="F85" i="11" s="1"/>
  <c r="B85" i="11"/>
  <c r="I5" i="11"/>
  <c r="U43" i="11"/>
  <c r="K88" i="11" s="1"/>
  <c r="K9" i="11"/>
  <c r="F54" i="11" s="1"/>
  <c r="B54" i="11"/>
  <c r="S17" i="11"/>
  <c r="J62" i="11" s="1"/>
  <c r="B62" i="11"/>
  <c r="M25" i="11"/>
  <c r="G70" i="11" s="1"/>
  <c r="B70" i="11"/>
  <c r="K33" i="11"/>
  <c r="F78" i="11" s="1"/>
  <c r="B78" i="11"/>
  <c r="K41" i="11"/>
  <c r="F86" i="11" s="1"/>
  <c r="B86" i="11"/>
  <c r="O4" i="11"/>
  <c r="H49" i="11" s="1"/>
  <c r="O20" i="11"/>
  <c r="H65" i="11" s="1"/>
  <c r="K10" i="11"/>
  <c r="F55" i="11" s="1"/>
  <c r="B55" i="11"/>
  <c r="M18" i="11"/>
  <c r="G63" i="11" s="1"/>
  <c r="B63" i="11"/>
  <c r="W26" i="11"/>
  <c r="L71" i="11" s="1"/>
  <c r="B71" i="11"/>
  <c r="K34" i="11"/>
  <c r="F79" i="11" s="1"/>
  <c r="B79" i="11"/>
  <c r="AA42" i="11"/>
  <c r="N87" i="11" s="1"/>
  <c r="B87" i="11"/>
  <c r="O8" i="11"/>
  <c r="H53" i="11" s="1"/>
  <c r="AC21" i="11"/>
  <c r="O66" i="11" s="1"/>
  <c r="J43" i="11"/>
  <c r="J35" i="11"/>
  <c r="J34" i="11"/>
  <c r="J27" i="11"/>
  <c r="J26" i="11"/>
  <c r="J25" i="11"/>
  <c r="J22" i="11"/>
  <c r="J18" i="11"/>
  <c r="F107" i="11" s="1"/>
  <c r="J16" i="11"/>
  <c r="J12" i="11"/>
  <c r="Y6" i="11"/>
  <c r="M51" i="11" s="1"/>
  <c r="S14" i="11"/>
  <c r="J59" i="11" s="1"/>
  <c r="U10" i="11"/>
  <c r="K55" i="11" s="1"/>
  <c r="U33" i="11"/>
  <c r="K78" i="11" s="1"/>
  <c r="I6" i="11"/>
  <c r="Y7" i="11"/>
  <c r="M52" i="11" s="1"/>
  <c r="Q42" i="11"/>
  <c r="I87" i="11" s="1"/>
  <c r="Y14" i="11"/>
  <c r="M59" i="11" s="1"/>
  <c r="O16" i="11"/>
  <c r="H61" i="11" s="1"/>
  <c r="AC17" i="11"/>
  <c r="O62" i="11" s="1"/>
  <c r="S20" i="11"/>
  <c r="J65" i="11" s="1"/>
  <c r="I28" i="11"/>
  <c r="Q36" i="11"/>
  <c r="I81" i="11" s="1"/>
  <c r="G32" i="11"/>
  <c r="AA23" i="11"/>
  <c r="N68" i="11" s="1"/>
  <c r="U12" i="11"/>
  <c r="K57" i="11" s="1"/>
  <c r="U34" i="11"/>
  <c r="K79" i="11" s="1"/>
  <c r="I7" i="11"/>
  <c r="S5" i="11"/>
  <c r="J50" i="11" s="1"/>
  <c r="Y8" i="11"/>
  <c r="M53" i="11" s="1"/>
  <c r="AC14" i="11"/>
  <c r="O59" i="11" s="1"/>
  <c r="S16" i="11"/>
  <c r="J61" i="11" s="1"/>
  <c r="I19" i="11"/>
  <c r="Y20" i="11"/>
  <c r="M65" i="11" s="1"/>
  <c r="O28" i="11"/>
  <c r="H73" i="11" s="1"/>
  <c r="G38" i="11"/>
  <c r="Q32" i="11"/>
  <c r="I77" i="11" s="1"/>
  <c r="G13" i="11"/>
  <c r="U35" i="11"/>
  <c r="K80" i="11" s="1"/>
  <c r="I8" i="11"/>
  <c r="S6" i="11"/>
  <c r="J51" i="11" s="1"/>
  <c r="G29" i="11"/>
  <c r="I15" i="11"/>
  <c r="Y16" i="11"/>
  <c r="M61" i="11" s="1"/>
  <c r="O19" i="11"/>
  <c r="H64" i="11" s="1"/>
  <c r="AC20" i="11"/>
  <c r="O65" i="11" s="1"/>
  <c r="S28" i="11"/>
  <c r="J73" i="11" s="1"/>
  <c r="Q38" i="11"/>
  <c r="I83" i="11" s="1"/>
  <c r="G30" i="11"/>
  <c r="Q13" i="11"/>
  <c r="I58" i="11" s="1"/>
  <c r="W18" i="11"/>
  <c r="L63" i="11" s="1"/>
  <c r="U39" i="11"/>
  <c r="K84" i="11" s="1"/>
  <c r="S7" i="11"/>
  <c r="J52" i="11" s="1"/>
  <c r="AC5" i="11"/>
  <c r="O50" i="11" s="1"/>
  <c r="Q29" i="11"/>
  <c r="I74" i="11" s="1"/>
  <c r="O15" i="11"/>
  <c r="H60" i="11" s="1"/>
  <c r="S19" i="11"/>
  <c r="J64" i="11" s="1"/>
  <c r="I21" i="11"/>
  <c r="Y28" i="11"/>
  <c r="M73" i="11" s="1"/>
  <c r="Q30" i="11"/>
  <c r="I75" i="11" s="1"/>
  <c r="G24" i="11"/>
  <c r="W22" i="11"/>
  <c r="L67" i="11" s="1"/>
  <c r="U40" i="11"/>
  <c r="K85" i="11" s="1"/>
  <c r="O5" i="11"/>
  <c r="H50" i="11" s="1"/>
  <c r="S8" i="11"/>
  <c r="J53" i="11" s="1"/>
  <c r="AC6" i="11"/>
  <c r="O51" i="11" s="1"/>
  <c r="S15" i="11"/>
  <c r="J60" i="11" s="1"/>
  <c r="I17" i="11"/>
  <c r="Y19" i="11"/>
  <c r="M64" i="11" s="1"/>
  <c r="O21" i="11"/>
  <c r="H66" i="11" s="1"/>
  <c r="G37" i="11"/>
  <c r="Q24" i="11"/>
  <c r="I69" i="11" s="1"/>
  <c r="G11" i="11"/>
  <c r="W25" i="11"/>
  <c r="L70" i="11" s="1"/>
  <c r="U41" i="11"/>
  <c r="K86" i="11" s="1"/>
  <c r="AC7" i="11"/>
  <c r="O52" i="11" s="1"/>
  <c r="I14" i="11"/>
  <c r="Y15" i="11"/>
  <c r="M60" i="11" s="1"/>
  <c r="O17" i="11"/>
  <c r="H62" i="11" s="1"/>
  <c r="S21" i="11"/>
  <c r="J66" i="11" s="1"/>
  <c r="Q37" i="11"/>
  <c r="I82" i="11" s="1"/>
  <c r="G31" i="11"/>
  <c r="Q11" i="11"/>
  <c r="I56" i="11" s="1"/>
  <c r="DQ28" i="2"/>
  <c r="DQ27" i="2" s="1"/>
  <c r="DQ26" i="2"/>
  <c r="DQ25" i="2" s="1"/>
  <c r="DQ24" i="2" s="1"/>
  <c r="DQ23" i="2" s="1"/>
  <c r="DN28" i="2"/>
  <c r="DN27" i="2" s="1"/>
  <c r="DN26" i="2"/>
  <c r="DN25" i="2" s="1"/>
  <c r="DN24" i="2" s="1"/>
  <c r="DN23" i="2" s="1"/>
  <c r="DK28" i="2"/>
  <c r="DK27" i="2" s="1"/>
  <c r="DK26" i="2"/>
  <c r="DK25" i="2" s="1"/>
  <c r="DK24" i="2" s="1"/>
  <c r="DK23" i="2" s="1"/>
  <c r="DH28" i="2"/>
  <c r="DH27" i="2" s="1"/>
  <c r="DH35" i="2" s="1"/>
  <c r="DH34" i="2" s="1"/>
  <c r="DH26" i="2"/>
  <c r="DH25" i="2" s="1"/>
  <c r="DH24" i="2" s="1"/>
  <c r="DH23" i="2" s="1"/>
  <c r="DE28" i="2"/>
  <c r="DE27" i="2" s="1"/>
  <c r="DE26" i="2"/>
  <c r="DE25" i="2" s="1"/>
  <c r="DE24" i="2" s="1"/>
  <c r="DE23" i="2" s="1"/>
  <c r="DB28" i="2"/>
  <c r="DB27" i="2" s="1"/>
  <c r="DB26" i="2"/>
  <c r="DB25" i="2" s="1"/>
  <c r="DB24" i="2" s="1"/>
  <c r="DB23" i="2" s="1"/>
  <c r="CS28" i="2"/>
  <c r="CS27" i="2" s="1"/>
  <c r="CS26" i="2"/>
  <c r="CS25" i="2" s="1"/>
  <c r="CS24" i="2" s="1"/>
  <c r="CS23" i="2" s="1"/>
  <c r="CP28" i="2"/>
  <c r="CP27" i="2" s="1"/>
  <c r="CP35" i="2" s="1"/>
  <c r="CP34" i="2" s="1"/>
  <c r="CP26" i="2"/>
  <c r="CP25" i="2" s="1"/>
  <c r="CP24" i="2" s="1"/>
  <c r="CP23" i="2" s="1"/>
  <c r="CM28" i="2"/>
  <c r="CM27" i="2" s="1"/>
  <c r="CM26" i="2"/>
  <c r="CM25" i="2" s="1"/>
  <c r="CM24" i="2" s="1"/>
  <c r="CM23" i="2" s="1"/>
  <c r="CJ28" i="2"/>
  <c r="CJ27" i="2" s="1"/>
  <c r="CJ26" i="2"/>
  <c r="CJ25" i="2" s="1"/>
  <c r="CJ24" i="2" s="1"/>
  <c r="CJ23" i="2" s="1"/>
  <c r="CG28" i="2"/>
  <c r="CG27" i="2" s="1"/>
  <c r="CG26" i="2"/>
  <c r="CG25" i="2" s="1"/>
  <c r="CG24" i="2" s="1"/>
  <c r="CG23" i="2" s="1"/>
  <c r="CD28" i="2"/>
  <c r="CD27" i="2" s="1"/>
  <c r="CD35" i="2" s="1"/>
  <c r="CD34" i="2" s="1"/>
  <c r="CD26" i="2"/>
  <c r="CD25" i="2" s="1"/>
  <c r="CD24" i="2" s="1"/>
  <c r="CD23" i="2" s="1"/>
  <c r="CA28" i="2"/>
  <c r="CA27" i="2" s="1"/>
  <c r="CA26" i="2"/>
  <c r="CA25" i="2" s="1"/>
  <c r="CA24" i="2" s="1"/>
  <c r="CA23" i="2" s="1"/>
  <c r="BX28" i="2"/>
  <c r="BX27" i="2" s="1"/>
  <c r="BX26" i="2"/>
  <c r="BX25" i="2" s="1"/>
  <c r="BX24" i="2" s="1"/>
  <c r="BX23" i="2" s="1"/>
  <c r="BU28" i="2"/>
  <c r="BU27" i="2" s="1"/>
  <c r="BU26" i="2"/>
  <c r="BU25" i="2" s="1"/>
  <c r="BU24" i="2" s="1"/>
  <c r="BU23" i="2" s="1"/>
  <c r="BR28" i="2"/>
  <c r="BR27" i="2" s="1"/>
  <c r="BR35" i="2" s="1"/>
  <c r="BR34" i="2" s="1"/>
  <c r="BR26" i="2"/>
  <c r="BR25" i="2" s="1"/>
  <c r="BR24" i="2" s="1"/>
  <c r="BR23" i="2" s="1"/>
  <c r="BO28" i="2"/>
  <c r="BO27" i="2" s="1"/>
  <c r="BO26" i="2"/>
  <c r="BO25" i="2" s="1"/>
  <c r="BO24" i="2" s="1"/>
  <c r="BO23" i="2" s="1"/>
  <c r="BL28" i="2"/>
  <c r="BL27" i="2" s="1"/>
  <c r="BL26" i="2"/>
  <c r="BL25" i="2" s="1"/>
  <c r="BL24" i="2" s="1"/>
  <c r="BL23" i="2" s="1"/>
  <c r="BI28" i="2"/>
  <c r="BI27" i="2" s="1"/>
  <c r="BI26" i="2"/>
  <c r="BI25" i="2" s="1"/>
  <c r="BI24" i="2" s="1"/>
  <c r="BI23" i="2" s="1"/>
  <c r="BF26" i="2"/>
  <c r="BF25" i="2" s="1"/>
  <c r="BF24" i="2" s="1"/>
  <c r="BF23" i="2" s="1"/>
  <c r="BF28" i="2"/>
  <c r="BF27" i="2" s="1"/>
  <c r="BC28" i="2"/>
  <c r="BC27" i="2" s="1"/>
  <c r="BC26" i="2"/>
  <c r="BC25" i="2" s="1"/>
  <c r="BC24" i="2" s="1"/>
  <c r="BC23" i="2" s="1"/>
  <c r="AZ28" i="2"/>
  <c r="AZ27" i="2" s="1"/>
  <c r="AZ26" i="2"/>
  <c r="AZ25" i="2" s="1"/>
  <c r="AZ24" i="2" s="1"/>
  <c r="AZ23" i="2" s="1"/>
  <c r="AW28" i="2"/>
  <c r="AW27" i="2" s="1"/>
  <c r="AW26" i="2"/>
  <c r="AW25" i="2" s="1"/>
  <c r="AW24" i="2" s="1"/>
  <c r="AW23" i="2" s="1"/>
  <c r="AT28" i="2"/>
  <c r="AT27" i="2" s="1"/>
  <c r="AT35" i="2" s="1"/>
  <c r="AT34" i="2" s="1"/>
  <c r="AT26" i="2"/>
  <c r="AT25" i="2" s="1"/>
  <c r="AT24" i="2" s="1"/>
  <c r="AT23" i="2" s="1"/>
  <c r="AQ28" i="2"/>
  <c r="AQ27" i="2" s="1"/>
  <c r="AQ26" i="2"/>
  <c r="AQ25" i="2" s="1"/>
  <c r="AQ24" i="2" s="1"/>
  <c r="AQ23" i="2" s="1"/>
  <c r="AN28" i="2"/>
  <c r="AN27" i="2" s="1"/>
  <c r="AN26" i="2"/>
  <c r="AN25" i="2" s="1"/>
  <c r="AN24" i="2" s="1"/>
  <c r="AN23" i="2" s="1"/>
  <c r="AK28" i="2"/>
  <c r="AK27" i="2" s="1"/>
  <c r="AK26" i="2"/>
  <c r="AK25" i="2" s="1"/>
  <c r="AK24" i="2" s="1"/>
  <c r="AK23" i="2" s="1"/>
  <c r="AH28" i="2"/>
  <c r="AH27" i="2" s="1"/>
  <c r="AH35" i="2" s="1"/>
  <c r="AH34" i="2" s="1"/>
  <c r="AH26" i="2"/>
  <c r="AH25" i="2" s="1"/>
  <c r="AH24" i="2" s="1"/>
  <c r="AH23" i="2" s="1"/>
  <c r="AE28" i="2"/>
  <c r="AE27" i="2" s="1"/>
  <c r="AE26" i="2"/>
  <c r="AE25" i="2" s="1"/>
  <c r="AE24" i="2" s="1"/>
  <c r="AE23" i="2" s="1"/>
  <c r="AB28" i="2"/>
  <c r="AB27" i="2" s="1"/>
  <c r="AB26" i="2"/>
  <c r="AB25" i="2" s="1"/>
  <c r="AB24" i="2" s="1"/>
  <c r="AB23" i="2" s="1"/>
  <c r="Y28" i="2"/>
  <c r="Y27" i="2" s="1"/>
  <c r="Y26" i="2"/>
  <c r="Y25" i="2" s="1"/>
  <c r="Y24" i="2" s="1"/>
  <c r="Y23" i="2" s="1"/>
  <c r="V28" i="2"/>
  <c r="V27" i="2" s="1"/>
  <c r="V35" i="2" s="1"/>
  <c r="V34" i="2" s="1"/>
  <c r="V26" i="2"/>
  <c r="V25" i="2" s="1"/>
  <c r="V24" i="2" s="1"/>
  <c r="V23" i="2" s="1"/>
  <c r="S28" i="2"/>
  <c r="S27" i="2" s="1"/>
  <c r="S26" i="2"/>
  <c r="S25" i="2" s="1"/>
  <c r="S24" i="2" s="1"/>
  <c r="S23" i="2" s="1"/>
  <c r="P28" i="2"/>
  <c r="P27" i="2" s="1"/>
  <c r="P26" i="2"/>
  <c r="P25" i="2" s="1"/>
  <c r="P24" i="2" s="1"/>
  <c r="P23" i="2" s="1"/>
  <c r="M28" i="2"/>
  <c r="M27" i="2" s="1"/>
  <c r="M26" i="2"/>
  <c r="M25" i="2" s="1"/>
  <c r="M24" i="2" s="1"/>
  <c r="M23" i="2" s="1"/>
  <c r="J28" i="2"/>
  <c r="J27" i="2" s="1"/>
  <c r="J35" i="2" s="1"/>
  <c r="J34" i="2" s="1"/>
  <c r="J26" i="2"/>
  <c r="J25" i="2" s="1"/>
  <c r="J24" i="2" s="1"/>
  <c r="J23" i="2" s="1"/>
  <c r="G28" i="2"/>
  <c r="G27" i="2" s="1"/>
  <c r="G26" i="2"/>
  <c r="G25" i="2" s="1"/>
  <c r="G24" i="2" s="1"/>
  <c r="G23" i="2" s="1"/>
  <c r="D28" i="2"/>
  <c r="D27" i="2" s="1"/>
  <c r="D4" i="10"/>
  <c r="B6" i="10" s="1"/>
  <c r="E11" i="9"/>
  <c r="E8" i="9"/>
  <c r="B16" i="7"/>
  <c r="B15" i="7"/>
  <c r="B14" i="7"/>
  <c r="B49" i="7" s="1"/>
  <c r="B13" i="7"/>
  <c r="B48" i="7" s="1"/>
  <c r="B12" i="7"/>
  <c r="B47" i="7" s="1"/>
  <c r="B11" i="7"/>
  <c r="C11" i="7" s="1"/>
  <c r="D37" i="7" s="1"/>
  <c r="B10" i="7"/>
  <c r="B22" i="8"/>
  <c r="B35" i="8" s="1"/>
  <c r="C19" i="8"/>
  <c r="D19" i="8" s="1"/>
  <c r="B11" i="8"/>
  <c r="C17" i="8" s="1"/>
  <c r="D17" i="8" s="1"/>
  <c r="B30" i="7"/>
  <c r="D30" i="7" s="1"/>
  <c r="B29" i="7"/>
  <c r="D29" i="7" s="1"/>
  <c r="B28" i="7"/>
  <c r="D28" i="7" s="1"/>
  <c r="B27" i="7"/>
  <c r="D27" i="7" s="1"/>
  <c r="B26" i="7"/>
  <c r="D26" i="7" s="1"/>
  <c r="B25" i="7"/>
  <c r="D25" i="7" s="1"/>
  <c r="D24" i="7"/>
  <c r="C2" i="6"/>
  <c r="B10" i="5"/>
  <c r="B9" i="5"/>
  <c r="C7" i="5"/>
  <c r="C5" i="5"/>
  <c r="C4" i="5"/>
  <c r="B8" i="5"/>
  <c r="B7" i="5"/>
  <c r="D7" i="5" s="1"/>
  <c r="E7" i="5" s="1"/>
  <c r="F7" i="5" s="1"/>
  <c r="G7" i="5" s="1"/>
  <c r="B6" i="5"/>
  <c r="B5" i="5"/>
  <c r="B2" i="6" s="1"/>
  <c r="B4" i="5"/>
  <c r="E34" i="4"/>
  <c r="E33" i="4"/>
  <c r="E32" i="4"/>
  <c r="E31" i="4"/>
  <c r="E30" i="4"/>
  <c r="E29" i="4"/>
  <c r="E28" i="4"/>
  <c r="C34" i="4"/>
  <c r="C44" i="4"/>
  <c r="C43" i="4"/>
  <c r="C42" i="4"/>
  <c r="C41" i="4"/>
  <c r="C40" i="4"/>
  <c r="D40" i="4" s="1"/>
  <c r="C39" i="4"/>
  <c r="D39" i="4" s="1"/>
  <c r="C38" i="4"/>
  <c r="B44" i="4"/>
  <c r="D44" i="4" s="1"/>
  <c r="B43" i="4"/>
  <c r="D43" i="4" s="1"/>
  <c r="B42" i="4"/>
  <c r="B41" i="4"/>
  <c r="C33" i="4"/>
  <c r="C32" i="4"/>
  <c r="C31" i="4"/>
  <c r="C30" i="4"/>
  <c r="C29" i="4"/>
  <c r="C28" i="4"/>
  <c r="M24" i="4"/>
  <c r="L17" i="4"/>
  <c r="M17" i="4" s="1"/>
  <c r="B34" i="4" s="1"/>
  <c r="R24" i="4"/>
  <c r="Q17" i="4" s="1"/>
  <c r="R17" i="4" s="1"/>
  <c r="B33" i="4" s="1"/>
  <c r="D33" i="4" s="1"/>
  <c r="B31" i="4"/>
  <c r="B29" i="4"/>
  <c r="B28" i="4"/>
  <c r="D42" i="4"/>
  <c r="B40" i="4"/>
  <c r="D38" i="4"/>
  <c r="D28" i="4"/>
  <c r="M5" i="4"/>
  <c r="H24" i="4"/>
  <c r="G17" i="4" s="1"/>
  <c r="H17" i="4" s="1"/>
  <c r="B32" i="4" s="1"/>
  <c r="C24" i="4"/>
  <c r="B17" i="4" s="1"/>
  <c r="C17" i="4" s="1"/>
  <c r="B30" i="4" s="1"/>
  <c r="D30" i="4" s="1"/>
  <c r="C12" i="4"/>
  <c r="H5" i="4"/>
  <c r="B5" i="4"/>
  <c r="C5" i="4" s="1"/>
  <c r="C17" i="3"/>
  <c r="C13" i="3"/>
  <c r="C12" i="3"/>
  <c r="F9" i="3"/>
  <c r="DO38" i="2"/>
  <c r="DL38" i="2"/>
  <c r="DI38" i="2"/>
  <c r="DF38" i="2"/>
  <c r="DC38" i="2"/>
  <c r="CZ38" i="2"/>
  <c r="CW38" i="2"/>
  <c r="CT38" i="2"/>
  <c r="CQ38" i="2"/>
  <c r="CN38" i="2"/>
  <c r="CK38" i="2"/>
  <c r="CH38" i="2"/>
  <c r="CE38" i="2"/>
  <c r="CB38" i="2"/>
  <c r="BY38" i="2"/>
  <c r="BV38" i="2"/>
  <c r="BS38" i="2"/>
  <c r="BP38" i="2"/>
  <c r="BM38" i="2"/>
  <c r="BJ38" i="2"/>
  <c r="BG38" i="2"/>
  <c r="BD38" i="2"/>
  <c r="BA38" i="2"/>
  <c r="AX38" i="2"/>
  <c r="AU38" i="2"/>
  <c r="AR38" i="2"/>
  <c r="AO38" i="2"/>
  <c r="AL38" i="2"/>
  <c r="AI38" i="2"/>
  <c r="AF38" i="2"/>
  <c r="AC38" i="2"/>
  <c r="Z38" i="2"/>
  <c r="W38" i="2"/>
  <c r="T38" i="2"/>
  <c r="Q38" i="2"/>
  <c r="N38" i="2"/>
  <c r="K38" i="2"/>
  <c r="H38" i="2"/>
  <c r="E38" i="2"/>
  <c r="DO35" i="2"/>
  <c r="DL35" i="2"/>
  <c r="DI35" i="2"/>
  <c r="DF35" i="2"/>
  <c r="DC35" i="2"/>
  <c r="CZ35" i="2"/>
  <c r="CW35" i="2"/>
  <c r="CT35" i="2"/>
  <c r="CQ35" i="2"/>
  <c r="CN35" i="2"/>
  <c r="CK35" i="2"/>
  <c r="CH35" i="2"/>
  <c r="CE35" i="2"/>
  <c r="CB35" i="2"/>
  <c r="BY35" i="2"/>
  <c r="BV35" i="2"/>
  <c r="BS35" i="2"/>
  <c r="BP35" i="2"/>
  <c r="BM35" i="2"/>
  <c r="BJ35" i="2"/>
  <c r="BG35" i="2"/>
  <c r="BD35" i="2"/>
  <c r="BA35" i="2"/>
  <c r="AX35" i="2"/>
  <c r="AU35" i="2"/>
  <c r="AR35" i="2"/>
  <c r="AO35" i="2"/>
  <c r="AL35" i="2"/>
  <c r="AI35" i="2"/>
  <c r="AF35" i="2"/>
  <c r="AC35" i="2"/>
  <c r="Z35" i="2"/>
  <c r="W35" i="2"/>
  <c r="T35" i="2"/>
  <c r="Q35" i="2"/>
  <c r="N35" i="2"/>
  <c r="K35" i="2"/>
  <c r="H35" i="2"/>
  <c r="E35" i="2"/>
  <c r="DO34" i="2"/>
  <c r="DL34" i="2"/>
  <c r="DI34" i="2"/>
  <c r="DF34" i="2"/>
  <c r="DC34" i="2"/>
  <c r="CZ34" i="2"/>
  <c r="CW34" i="2"/>
  <c r="CT34" i="2"/>
  <c r="CQ34" i="2"/>
  <c r="CN34" i="2"/>
  <c r="CK34" i="2"/>
  <c r="CH34" i="2"/>
  <c r="CE34" i="2"/>
  <c r="CB34" i="2"/>
  <c r="BY34" i="2"/>
  <c r="BV34" i="2"/>
  <c r="BS34" i="2"/>
  <c r="BP34" i="2"/>
  <c r="BM34" i="2"/>
  <c r="BJ34" i="2"/>
  <c r="BG34" i="2"/>
  <c r="BD34" i="2"/>
  <c r="BA34" i="2"/>
  <c r="AX34" i="2"/>
  <c r="AU34" i="2"/>
  <c r="AR34" i="2"/>
  <c r="AO34" i="2"/>
  <c r="AL34" i="2"/>
  <c r="AI34" i="2"/>
  <c r="AF34" i="2"/>
  <c r="AC34" i="2"/>
  <c r="Z34" i="2"/>
  <c r="W34" i="2"/>
  <c r="T34" i="2"/>
  <c r="Q34" i="2"/>
  <c r="N34" i="2"/>
  <c r="K34" i="2"/>
  <c r="H34" i="2"/>
  <c r="E34" i="2"/>
  <c r="B38" i="2"/>
  <c r="B35" i="2"/>
  <c r="B34" i="2"/>
  <c r="D38" i="2"/>
  <c r="B31" i="8" l="1"/>
  <c r="B32" i="8"/>
  <c r="F5" i="12" s="1"/>
  <c r="B33" i="8"/>
  <c r="B34" i="8"/>
  <c r="M35" i="2"/>
  <c r="M34" i="2" s="1"/>
  <c r="Y35" i="2"/>
  <c r="Y34" i="2" s="1"/>
  <c r="AK35" i="2"/>
  <c r="AK34" i="2" s="1"/>
  <c r="AW35" i="2"/>
  <c r="AW34" i="2" s="1"/>
  <c r="BI35" i="2"/>
  <c r="BI34" i="2" s="1"/>
  <c r="BU35" i="2"/>
  <c r="BU34" i="2" s="1"/>
  <c r="CG35" i="2"/>
  <c r="CG34" i="2" s="1"/>
  <c r="CS35" i="2"/>
  <c r="CS34" i="2" s="1"/>
  <c r="DK35" i="2"/>
  <c r="DK34" i="2" s="1"/>
  <c r="N47" i="11"/>
  <c r="P35" i="2"/>
  <c r="P34" i="2" s="1"/>
  <c r="AB35" i="2"/>
  <c r="AB34" i="2" s="1"/>
  <c r="AN35" i="2"/>
  <c r="AN34" i="2" s="1"/>
  <c r="AZ35" i="2"/>
  <c r="AZ34" i="2" s="1"/>
  <c r="BL35" i="2"/>
  <c r="BL34" i="2" s="1"/>
  <c r="BX35" i="2"/>
  <c r="BX34" i="2" s="1"/>
  <c r="CJ35" i="2"/>
  <c r="CJ34" i="2" s="1"/>
  <c r="DB35" i="2"/>
  <c r="DB34" i="2" s="1"/>
  <c r="DN35" i="2"/>
  <c r="DN34" i="2" s="1"/>
  <c r="G35" i="2"/>
  <c r="G34" i="2" s="1"/>
  <c r="S35" i="2"/>
  <c r="S34" i="2" s="1"/>
  <c r="AE35" i="2"/>
  <c r="AE34" i="2" s="1"/>
  <c r="AQ35" i="2"/>
  <c r="AQ34" i="2" s="1"/>
  <c r="BC35" i="2"/>
  <c r="BC34" i="2" s="1"/>
  <c r="BO35" i="2"/>
  <c r="BO34" i="2" s="1"/>
  <c r="CA35" i="2"/>
  <c r="CA34" i="2" s="1"/>
  <c r="CM35" i="2"/>
  <c r="CM34" i="2" s="1"/>
  <c r="DE35" i="2"/>
  <c r="DE34" i="2" s="1"/>
  <c r="DQ35" i="2"/>
  <c r="DQ34" i="2" s="1"/>
  <c r="BF35" i="2"/>
  <c r="BF34" i="2" s="1"/>
  <c r="J10" i="11"/>
  <c r="C10" i="7"/>
  <c r="E30" i="7" s="1"/>
  <c r="F30" i="7" s="1"/>
  <c r="L16" i="11"/>
  <c r="F105" i="11"/>
  <c r="J40" i="11"/>
  <c r="L43" i="11"/>
  <c r="F132" i="11"/>
  <c r="L47" i="11"/>
  <c r="L22" i="11"/>
  <c r="F111" i="11"/>
  <c r="H36" i="11"/>
  <c r="D125" i="11"/>
  <c r="L25" i="11"/>
  <c r="F114" i="11"/>
  <c r="L26" i="11"/>
  <c r="F115" i="11"/>
  <c r="L27" i="11"/>
  <c r="G116" i="11" s="1"/>
  <c r="F116" i="11"/>
  <c r="H42" i="11"/>
  <c r="D131" i="11"/>
  <c r="L10" i="11"/>
  <c r="F99" i="11"/>
  <c r="L34" i="11"/>
  <c r="F123" i="11"/>
  <c r="L12" i="11"/>
  <c r="F101" i="11"/>
  <c r="L35" i="11"/>
  <c r="G124" i="11" s="1"/>
  <c r="F124" i="11"/>
  <c r="G47" i="11"/>
  <c r="D58" i="11"/>
  <c r="F13" i="11"/>
  <c r="E73" i="11"/>
  <c r="H28" i="11"/>
  <c r="E65" i="11"/>
  <c r="H20" i="11"/>
  <c r="E59" i="11"/>
  <c r="H14" i="11"/>
  <c r="F24" i="11"/>
  <c r="D69" i="11"/>
  <c r="F23" i="11"/>
  <c r="D68" i="11"/>
  <c r="D82" i="11"/>
  <c r="F37" i="11"/>
  <c r="E51" i="11"/>
  <c r="H6" i="11"/>
  <c r="E62" i="11"/>
  <c r="H17" i="11"/>
  <c r="D83" i="11"/>
  <c r="F38" i="11"/>
  <c r="E52" i="11"/>
  <c r="H7" i="11"/>
  <c r="J9" i="11"/>
  <c r="M47" i="11"/>
  <c r="K47" i="11"/>
  <c r="I47" i="11"/>
  <c r="E60" i="11"/>
  <c r="H15" i="11"/>
  <c r="H47" i="11"/>
  <c r="E49" i="11"/>
  <c r="H4" i="11"/>
  <c r="E50" i="11"/>
  <c r="H5" i="11"/>
  <c r="D76" i="11"/>
  <c r="F31" i="11"/>
  <c r="E66" i="11"/>
  <c r="H21" i="11"/>
  <c r="D74" i="11"/>
  <c r="F29" i="11"/>
  <c r="J41" i="11"/>
  <c r="L18" i="11"/>
  <c r="F47" i="11"/>
  <c r="O47" i="11"/>
  <c r="J47" i="11"/>
  <c r="F11" i="11"/>
  <c r="D56" i="11"/>
  <c r="D75" i="11"/>
  <c r="F30" i="11"/>
  <c r="E64" i="11"/>
  <c r="H19" i="11"/>
  <c r="E53" i="11"/>
  <c r="H8" i="11"/>
  <c r="F32" i="11"/>
  <c r="D77" i="11"/>
  <c r="J33" i="11"/>
  <c r="J39" i="11"/>
  <c r="N27" i="11"/>
  <c r="D51" i="10"/>
  <c r="D43" i="10"/>
  <c r="D35" i="10"/>
  <c r="D27" i="10"/>
  <c r="D19" i="10"/>
  <c r="D16" i="10"/>
  <c r="D14" i="10"/>
  <c r="D29" i="10"/>
  <c r="D50" i="10"/>
  <c r="D42" i="10"/>
  <c r="D34" i="10"/>
  <c r="D26" i="10"/>
  <c r="D18" i="10"/>
  <c r="D38" i="10"/>
  <c r="D22" i="10"/>
  <c r="D13" i="10"/>
  <c r="D49" i="10"/>
  <c r="D41" i="10"/>
  <c r="D33" i="10"/>
  <c r="D25" i="10"/>
  <c r="D17" i="10"/>
  <c r="D21" i="10"/>
  <c r="D48" i="10"/>
  <c r="D40" i="10"/>
  <c r="D32" i="10"/>
  <c r="D24" i="10"/>
  <c r="D37" i="10"/>
  <c r="D47" i="10"/>
  <c r="D39" i="10"/>
  <c r="D31" i="10"/>
  <c r="D23" i="10"/>
  <c r="D15" i="10"/>
  <c r="D46" i="10"/>
  <c r="D45" i="10"/>
  <c r="D44" i="10"/>
  <c r="D36" i="10"/>
  <c r="D28" i="10"/>
  <c r="D20" i="10"/>
  <c r="D12" i="10"/>
  <c r="D30" i="10"/>
  <c r="J48" i="10"/>
  <c r="J40" i="10"/>
  <c r="J20" i="10"/>
  <c r="J49" i="10"/>
  <c r="J45" i="10"/>
  <c r="J41" i="10"/>
  <c r="J37" i="10"/>
  <c r="J33" i="10"/>
  <c r="J29" i="10"/>
  <c r="J25" i="10"/>
  <c r="J21" i="10"/>
  <c r="J17" i="10"/>
  <c r="J13" i="10"/>
  <c r="J36" i="10"/>
  <c r="J24" i="10"/>
  <c r="J12" i="10"/>
  <c r="J50" i="10"/>
  <c r="J46" i="10"/>
  <c r="J42" i="10"/>
  <c r="J38" i="10"/>
  <c r="J34" i="10"/>
  <c r="J30" i="10"/>
  <c r="J26" i="10"/>
  <c r="J22" i="10"/>
  <c r="J18" i="10"/>
  <c r="J14" i="10"/>
  <c r="J44" i="10"/>
  <c r="J32" i="10"/>
  <c r="J51" i="10"/>
  <c r="J47" i="10"/>
  <c r="J43" i="10"/>
  <c r="J39" i="10"/>
  <c r="J35" i="10"/>
  <c r="J31" i="10"/>
  <c r="J27" i="10"/>
  <c r="J23" i="10"/>
  <c r="J19" i="10"/>
  <c r="J15" i="10"/>
  <c r="J28" i="10"/>
  <c r="J16" i="10"/>
  <c r="C44" i="10"/>
  <c r="C36" i="10"/>
  <c r="C28" i="10"/>
  <c r="C20" i="10"/>
  <c r="C42" i="10"/>
  <c r="C26" i="10"/>
  <c r="C16" i="10"/>
  <c r="C38" i="10"/>
  <c r="C21" i="10"/>
  <c r="C51" i="10"/>
  <c r="C43" i="10"/>
  <c r="C35" i="10"/>
  <c r="C27" i="10"/>
  <c r="C19" i="10"/>
  <c r="C50" i="10"/>
  <c r="C18" i="10"/>
  <c r="C14" i="10"/>
  <c r="C13" i="10"/>
  <c r="C34" i="10"/>
  <c r="C37" i="10"/>
  <c r="C49" i="10"/>
  <c r="C41" i="10"/>
  <c r="C33" i="10"/>
  <c r="C25" i="10"/>
  <c r="C17" i="10"/>
  <c r="C48" i="10"/>
  <c r="C32" i="10"/>
  <c r="C24" i="10"/>
  <c r="C30" i="10"/>
  <c r="C29" i="10"/>
  <c r="C12" i="10"/>
  <c r="C40" i="10"/>
  <c r="C22" i="10"/>
  <c r="C47" i="10"/>
  <c r="C39" i="10"/>
  <c r="C31" i="10"/>
  <c r="C23" i="10"/>
  <c r="C15" i="10"/>
  <c r="C46" i="10"/>
  <c r="C45" i="10"/>
  <c r="G51" i="10"/>
  <c r="G47" i="10"/>
  <c r="G43" i="10"/>
  <c r="G39" i="10"/>
  <c r="G35" i="10"/>
  <c r="G31" i="10"/>
  <c r="G27" i="10"/>
  <c r="G23" i="10"/>
  <c r="G19" i="10"/>
  <c r="G15" i="10"/>
  <c r="G26" i="10"/>
  <c r="G14" i="10"/>
  <c r="G50" i="10"/>
  <c r="G42" i="10"/>
  <c r="G30" i="10"/>
  <c r="G48" i="10"/>
  <c r="G44" i="10"/>
  <c r="G40" i="10"/>
  <c r="G36" i="10"/>
  <c r="G32" i="10"/>
  <c r="G28" i="10"/>
  <c r="G24" i="10"/>
  <c r="G20" i="10"/>
  <c r="G16" i="10"/>
  <c r="G46" i="10"/>
  <c r="G38" i="10"/>
  <c r="G22" i="10"/>
  <c r="G18" i="10"/>
  <c r="G12" i="10"/>
  <c r="G49" i="10"/>
  <c r="G45" i="10"/>
  <c r="G41" i="10"/>
  <c r="G37" i="10"/>
  <c r="G33" i="10"/>
  <c r="G29" i="10"/>
  <c r="G25" i="10"/>
  <c r="G21" i="10"/>
  <c r="G17" i="10"/>
  <c r="G13" i="10"/>
  <c r="G34" i="10"/>
  <c r="K49" i="10"/>
  <c r="K45" i="10"/>
  <c r="K41" i="10"/>
  <c r="K37" i="10"/>
  <c r="K33" i="10"/>
  <c r="K29" i="10"/>
  <c r="K25" i="10"/>
  <c r="K21" i="10"/>
  <c r="K17" i="10"/>
  <c r="K13" i="10"/>
  <c r="K36" i="10"/>
  <c r="K32" i="10"/>
  <c r="K20" i="10"/>
  <c r="K44" i="10"/>
  <c r="K24" i="10"/>
  <c r="K16" i="10"/>
  <c r="K50" i="10"/>
  <c r="K46" i="10"/>
  <c r="K42" i="10"/>
  <c r="K38" i="10"/>
  <c r="K34" i="10"/>
  <c r="K30" i="10"/>
  <c r="K26" i="10"/>
  <c r="K22" i="10"/>
  <c r="K18" i="10"/>
  <c r="K14" i="10"/>
  <c r="K12" i="10"/>
  <c r="K28" i="10"/>
  <c r="K51" i="10"/>
  <c r="K47" i="10"/>
  <c r="K43" i="10"/>
  <c r="K39" i="10"/>
  <c r="K35" i="10"/>
  <c r="K31" i="10"/>
  <c r="K27" i="10"/>
  <c r="K23" i="10"/>
  <c r="K19" i="10"/>
  <c r="K15" i="10"/>
  <c r="K48" i="10"/>
  <c r="K40" i="10"/>
  <c r="H12" i="10"/>
  <c r="H43" i="10"/>
  <c r="H35" i="10"/>
  <c r="H27" i="10"/>
  <c r="H48" i="10"/>
  <c r="H44" i="10"/>
  <c r="H40" i="10"/>
  <c r="H36" i="10"/>
  <c r="H32" i="10"/>
  <c r="H28" i="10"/>
  <c r="H24" i="10"/>
  <c r="H20" i="10"/>
  <c r="H16" i="10"/>
  <c r="H47" i="10"/>
  <c r="H31" i="10"/>
  <c r="H15" i="10"/>
  <c r="H49" i="10"/>
  <c r="H45" i="10"/>
  <c r="H41" i="10"/>
  <c r="H37" i="10"/>
  <c r="H33" i="10"/>
  <c r="H29" i="10"/>
  <c r="H25" i="10"/>
  <c r="H21" i="10"/>
  <c r="H17" i="10"/>
  <c r="H13" i="10"/>
  <c r="H51" i="10"/>
  <c r="H19" i="10"/>
  <c r="H50" i="10"/>
  <c r="H46" i="10"/>
  <c r="H42" i="10"/>
  <c r="H38" i="10"/>
  <c r="H34" i="10"/>
  <c r="H30" i="10"/>
  <c r="H26" i="10"/>
  <c r="H22" i="10"/>
  <c r="H18" i="10"/>
  <c r="H14" i="10"/>
  <c r="H39" i="10"/>
  <c r="H23" i="10"/>
  <c r="I48" i="10"/>
  <c r="I44" i="10"/>
  <c r="I40" i="10"/>
  <c r="I36" i="10"/>
  <c r="I32" i="10"/>
  <c r="I28" i="10"/>
  <c r="I24" i="10"/>
  <c r="I20" i="10"/>
  <c r="I16" i="10"/>
  <c r="I47" i="10"/>
  <c r="I12" i="10"/>
  <c r="I35" i="10"/>
  <c r="I49" i="10"/>
  <c r="I45" i="10"/>
  <c r="I41" i="10"/>
  <c r="I37" i="10"/>
  <c r="I33" i="10"/>
  <c r="I29" i="10"/>
  <c r="I25" i="10"/>
  <c r="I21" i="10"/>
  <c r="I17" i="10"/>
  <c r="I13" i="10"/>
  <c r="I39" i="10"/>
  <c r="I15" i="10"/>
  <c r="I50" i="10"/>
  <c r="I46" i="10"/>
  <c r="I42" i="10"/>
  <c r="I38" i="10"/>
  <c r="I34" i="10"/>
  <c r="I30" i="10"/>
  <c r="I26" i="10"/>
  <c r="I22" i="10"/>
  <c r="I18" i="10"/>
  <c r="I14" i="10"/>
  <c r="I31" i="10"/>
  <c r="I51" i="10"/>
  <c r="I43" i="10"/>
  <c r="I27" i="10"/>
  <c r="I23" i="10"/>
  <c r="I19" i="10"/>
  <c r="C16" i="7"/>
  <c r="B46" i="7"/>
  <c r="C15" i="7"/>
  <c r="C13" i="7"/>
  <c r="C14" i="7"/>
  <c r="C12" i="7"/>
  <c r="C18" i="8"/>
  <c r="D18" i="8" s="1"/>
  <c r="C16" i="8"/>
  <c r="D16" i="8" s="1"/>
  <c r="C20" i="8"/>
  <c r="D20" i="8" s="1"/>
  <c r="E25" i="7"/>
  <c r="F25" i="7" s="1"/>
  <c r="E27" i="7"/>
  <c r="F27" i="7" s="1"/>
  <c r="E29" i="7"/>
  <c r="F29" i="7" s="1"/>
  <c r="E24" i="7"/>
  <c r="F24" i="7" s="1"/>
  <c r="E26" i="7"/>
  <c r="F26" i="7" s="1"/>
  <c r="E28" i="7"/>
  <c r="F28" i="7" s="1"/>
  <c r="D4" i="5"/>
  <c r="E4" i="5" s="1"/>
  <c r="F4" i="5" s="1"/>
  <c r="G4" i="5" s="1"/>
  <c r="D34" i="4"/>
  <c r="D5" i="5"/>
  <c r="D41" i="4"/>
  <c r="F34" i="4"/>
  <c r="C10" i="5" s="1"/>
  <c r="D10" i="5" s="1"/>
  <c r="E10" i="5" s="1"/>
  <c r="F10" i="5" s="1"/>
  <c r="G10" i="5" s="1"/>
  <c r="F30" i="4"/>
  <c r="C6" i="5" s="1"/>
  <c r="D6" i="5" s="1"/>
  <c r="E6" i="5" s="1"/>
  <c r="F6" i="5" s="1"/>
  <c r="G6" i="5" s="1"/>
  <c r="F28" i="4"/>
  <c r="D31" i="4"/>
  <c r="D32" i="4"/>
  <c r="F33" i="4"/>
  <c r="C9" i="5" s="1"/>
  <c r="D9" i="5" s="1"/>
  <c r="E9" i="5" s="1"/>
  <c r="F9" i="5" s="1"/>
  <c r="G9" i="5" s="1"/>
  <c r="D29" i="4"/>
  <c r="F29" i="4" s="1"/>
  <c r="F31" i="4"/>
  <c r="DI32" i="2"/>
  <c r="DK36" i="2" s="1"/>
  <c r="CW32" i="2"/>
  <c r="CY36" i="2" s="1"/>
  <c r="BH32" i="2"/>
  <c r="BI37" i="2" s="1"/>
  <c r="AD32" i="2"/>
  <c r="AE37" i="2" s="1"/>
  <c r="AU32" i="2"/>
  <c r="AW36" i="2" s="1"/>
  <c r="DP32" i="2"/>
  <c r="DQ37" i="2" s="1"/>
  <c r="Z32" i="2"/>
  <c r="AB36" i="2" s="1"/>
  <c r="AX32" i="2"/>
  <c r="AZ36" i="2" s="1"/>
  <c r="CO32" i="2"/>
  <c r="CP37" i="2" s="1"/>
  <c r="D35" i="2"/>
  <c r="D34" i="2" s="1"/>
  <c r="X32" i="2"/>
  <c r="Y37" i="2" s="1"/>
  <c r="W32" i="2"/>
  <c r="Y36" i="2" s="1"/>
  <c r="DJ32" i="2"/>
  <c r="DK37" i="2" s="1"/>
  <c r="F32" i="2"/>
  <c r="G37" i="2" s="1"/>
  <c r="H32" i="2"/>
  <c r="J36" i="2" s="1"/>
  <c r="AV32" i="2"/>
  <c r="AW37" i="2" s="1"/>
  <c r="E5" i="12" l="1"/>
  <c r="E5" i="9"/>
  <c r="I56" i="10"/>
  <c r="H56" i="10"/>
  <c r="N35" i="11"/>
  <c r="H124" i="11" s="1"/>
  <c r="G56" i="10"/>
  <c r="C56" i="10"/>
  <c r="D56" i="10"/>
  <c r="L39" i="11"/>
  <c r="F128" i="11"/>
  <c r="N18" i="11"/>
  <c r="G107" i="11"/>
  <c r="J5" i="11"/>
  <c r="E94" i="11"/>
  <c r="J28" i="11"/>
  <c r="E117" i="11"/>
  <c r="L33" i="11"/>
  <c r="F122" i="11"/>
  <c r="H30" i="11"/>
  <c r="D119" i="11"/>
  <c r="L41" i="11"/>
  <c r="F130" i="11"/>
  <c r="J6" i="11"/>
  <c r="E95" i="11"/>
  <c r="H24" i="11"/>
  <c r="D113" i="11"/>
  <c r="N12" i="11"/>
  <c r="G101" i="11"/>
  <c r="N22" i="11"/>
  <c r="G111" i="11"/>
  <c r="H29" i="11"/>
  <c r="D118" i="11"/>
  <c r="J4" i="11"/>
  <c r="E93" i="11"/>
  <c r="L9" i="11"/>
  <c r="F98" i="11"/>
  <c r="J14" i="11"/>
  <c r="E103" i="11"/>
  <c r="H13" i="11"/>
  <c r="D102" i="11"/>
  <c r="J7" i="11"/>
  <c r="E96" i="11"/>
  <c r="H37" i="11"/>
  <c r="D126" i="11"/>
  <c r="N34" i="11"/>
  <c r="G123" i="11"/>
  <c r="N26" i="11"/>
  <c r="G115" i="11"/>
  <c r="H32" i="11"/>
  <c r="D121" i="11"/>
  <c r="H11" i="11"/>
  <c r="D100" i="11"/>
  <c r="J21" i="11"/>
  <c r="E110" i="11"/>
  <c r="J20" i="11"/>
  <c r="E109" i="11"/>
  <c r="N43" i="11"/>
  <c r="G132" i="11"/>
  <c r="P27" i="11"/>
  <c r="H116" i="11"/>
  <c r="J8" i="11"/>
  <c r="E97" i="11"/>
  <c r="J15" i="11"/>
  <c r="E104" i="11"/>
  <c r="H38" i="11"/>
  <c r="D127" i="11"/>
  <c r="N10" i="11"/>
  <c r="G99" i="11"/>
  <c r="N25" i="11"/>
  <c r="G114" i="11"/>
  <c r="F129" i="11"/>
  <c r="L40" i="11"/>
  <c r="H31" i="11"/>
  <c r="D120" i="11"/>
  <c r="H23" i="11"/>
  <c r="D112" i="11"/>
  <c r="P35" i="11"/>
  <c r="J19" i="11"/>
  <c r="E108" i="11"/>
  <c r="J17" i="11"/>
  <c r="E106" i="11"/>
  <c r="J42" i="11"/>
  <c r="E131" i="11"/>
  <c r="E125" i="11"/>
  <c r="J36" i="11"/>
  <c r="N16" i="11"/>
  <c r="G105" i="11"/>
  <c r="D47" i="11"/>
  <c r="E47" i="11"/>
  <c r="F14" i="10"/>
  <c r="F51" i="10"/>
  <c r="F47" i="10"/>
  <c r="F43" i="10"/>
  <c r="F39" i="10"/>
  <c r="F35" i="10"/>
  <c r="F31" i="10"/>
  <c r="F27" i="10"/>
  <c r="F23" i="10"/>
  <c r="F19" i="10"/>
  <c r="F15" i="10"/>
  <c r="F42" i="10"/>
  <c r="F22" i="10"/>
  <c r="F30" i="10"/>
  <c r="F48" i="10"/>
  <c r="F44" i="10"/>
  <c r="F40" i="10"/>
  <c r="F36" i="10"/>
  <c r="F32" i="10"/>
  <c r="F28" i="10"/>
  <c r="F24" i="10"/>
  <c r="F20" i="10"/>
  <c r="F16" i="10"/>
  <c r="F12" i="10"/>
  <c r="F38" i="10"/>
  <c r="F26" i="10"/>
  <c r="F18" i="10"/>
  <c r="F49" i="10"/>
  <c r="F45" i="10"/>
  <c r="F41" i="10"/>
  <c r="F37" i="10"/>
  <c r="F33" i="10"/>
  <c r="F29" i="10"/>
  <c r="F25" i="10"/>
  <c r="F21" i="10"/>
  <c r="F17" i="10"/>
  <c r="F13" i="10"/>
  <c r="F50" i="10"/>
  <c r="F46" i="10"/>
  <c r="F34" i="10"/>
  <c r="E5" i="5"/>
  <c r="D2" i="6"/>
  <c r="F31" i="7"/>
  <c r="D35" i="7" s="1"/>
  <c r="F32" i="4"/>
  <c r="C8" i="5" s="1"/>
  <c r="D8" i="5" s="1"/>
  <c r="E8" i="5" s="1"/>
  <c r="F8" i="5" s="1"/>
  <c r="G8" i="5" s="1"/>
  <c r="DM32" i="2"/>
  <c r="DN37" i="2" s="1"/>
  <c r="DO32" i="2"/>
  <c r="DQ36" i="2" s="1"/>
  <c r="CU32" i="2"/>
  <c r="CV37" i="2" s="1"/>
  <c r="CB32" i="2"/>
  <c r="CD36" i="2" s="1"/>
  <c r="CX32" i="2"/>
  <c r="CY37" i="2" s="1"/>
  <c r="AI32" i="2"/>
  <c r="AK36" i="2" s="1"/>
  <c r="C32" i="2"/>
  <c r="D37" i="2" s="1"/>
  <c r="BS32" i="2"/>
  <c r="BU36" i="2" s="1"/>
  <c r="B32" i="2"/>
  <c r="D36" i="2" s="1"/>
  <c r="AC32" i="2"/>
  <c r="AE36" i="2" s="1"/>
  <c r="BG32" i="2"/>
  <c r="BI36" i="2" s="1"/>
  <c r="AF32" i="2"/>
  <c r="AH36" i="2" s="1"/>
  <c r="L32" i="2"/>
  <c r="M37" i="2" s="1"/>
  <c r="BV32" i="2"/>
  <c r="BX36" i="2" s="1"/>
  <c r="CC32" i="2"/>
  <c r="CD37" i="2" s="1"/>
  <c r="CQ32" i="2"/>
  <c r="CS36" i="2" s="1"/>
  <c r="BY32" i="2"/>
  <c r="CA36" i="2" s="1"/>
  <c r="I32" i="2"/>
  <c r="J37" i="2" s="1"/>
  <c r="BZ32" i="2"/>
  <c r="CA37" i="2" s="1"/>
  <c r="BW32" i="2"/>
  <c r="BX37" i="2" s="1"/>
  <c r="CR32" i="2"/>
  <c r="CS37" i="2" s="1"/>
  <c r="E32" i="2"/>
  <c r="G36" i="2" s="1"/>
  <c r="CT32" i="2"/>
  <c r="CV36" i="2" s="1"/>
  <c r="BE32" i="2"/>
  <c r="BF37" i="2" s="1"/>
  <c r="BD32" i="2"/>
  <c r="BF36" i="2" s="1"/>
  <c r="BB32" i="2"/>
  <c r="BC37" i="2" s="1"/>
  <c r="BA32" i="2"/>
  <c r="BC36" i="2" s="1"/>
  <c r="AY32" i="2"/>
  <c r="AZ37" i="2" s="1"/>
  <c r="BT32" i="2"/>
  <c r="BU37" i="2" s="1"/>
  <c r="AG32" i="2"/>
  <c r="AH37" i="2" s="1"/>
  <c r="AA32" i="2"/>
  <c r="AB37" i="2" s="1"/>
  <c r="AJ32" i="2"/>
  <c r="AK37" i="2" s="1"/>
  <c r="DL32" i="2"/>
  <c r="DN36" i="2" s="1"/>
  <c r="CN32" i="2"/>
  <c r="CP36" i="2" s="1"/>
  <c r="K32" i="2"/>
  <c r="M36" i="2" s="1"/>
  <c r="AM32" i="2"/>
  <c r="AN37" i="2" s="1"/>
  <c r="AL32" i="2"/>
  <c r="AN36" i="2" s="1"/>
  <c r="CL32" i="2"/>
  <c r="CM37" i="2" s="1"/>
  <c r="CK32" i="2"/>
  <c r="CM36" i="2" s="1"/>
  <c r="BP32" i="2"/>
  <c r="BR36" i="2" s="1"/>
  <c r="BQ32" i="2"/>
  <c r="BR37" i="2" s="1"/>
  <c r="AR32" i="2"/>
  <c r="AT36" i="2" s="1"/>
  <c r="AS32" i="2"/>
  <c r="AT37" i="2" s="1"/>
  <c r="BK32" i="2"/>
  <c r="BL37" i="2" s="1"/>
  <c r="BJ32" i="2"/>
  <c r="BL36" i="2" s="1"/>
  <c r="U32" i="2"/>
  <c r="V37" i="2" s="1"/>
  <c r="T32" i="2"/>
  <c r="V36" i="2" s="1"/>
  <c r="R32" i="2"/>
  <c r="S37" i="2" s="1"/>
  <c r="Q32" i="2"/>
  <c r="S36" i="2" s="1"/>
  <c r="DA32" i="2"/>
  <c r="DB37" i="2" s="1"/>
  <c r="CZ32" i="2"/>
  <c r="DB36" i="2" s="1"/>
  <c r="O32" i="2"/>
  <c r="P37" i="2" s="1"/>
  <c r="N32" i="2"/>
  <c r="P36" i="2" s="1"/>
  <c r="BN32" i="2"/>
  <c r="BO37" i="2" s="1"/>
  <c r="BM32" i="2"/>
  <c r="BO36" i="2" s="1"/>
  <c r="AP32" i="2"/>
  <c r="AQ37" i="2" s="1"/>
  <c r="AO32" i="2"/>
  <c r="AQ36" i="2" s="1"/>
  <c r="CI32" i="2"/>
  <c r="CJ37" i="2" s="1"/>
  <c r="CH32" i="2"/>
  <c r="CJ36" i="2" s="1"/>
  <c r="CF32" i="2"/>
  <c r="CG37" i="2" s="1"/>
  <c r="CE32" i="2"/>
  <c r="CG36" i="2" s="1"/>
  <c r="DD32" i="2"/>
  <c r="DE37" i="2" s="1"/>
  <c r="DC32" i="2"/>
  <c r="DE36" i="2" s="1"/>
  <c r="DF32" i="2"/>
  <c r="DH36" i="2" s="1"/>
  <c r="DG32" i="2"/>
  <c r="DH37" i="2" s="1"/>
  <c r="F8" i="12" l="1"/>
  <c r="E8" i="12"/>
  <c r="F56" i="10"/>
  <c r="J31" i="11"/>
  <c r="E120" i="11"/>
  <c r="N40" i="11"/>
  <c r="G129" i="11"/>
  <c r="L19" i="11"/>
  <c r="F108" i="11"/>
  <c r="L20" i="11"/>
  <c r="F109" i="11"/>
  <c r="P26" i="11"/>
  <c r="H115" i="11"/>
  <c r="J13" i="11"/>
  <c r="E102" i="11"/>
  <c r="J29" i="11"/>
  <c r="E118" i="11"/>
  <c r="L6" i="11"/>
  <c r="F95" i="11"/>
  <c r="L28" i="11"/>
  <c r="F117" i="11"/>
  <c r="P16" i="11"/>
  <c r="H105" i="11"/>
  <c r="L15" i="11"/>
  <c r="F104" i="11"/>
  <c r="L36" i="11"/>
  <c r="F125" i="11"/>
  <c r="R35" i="11"/>
  <c r="I124" i="11"/>
  <c r="P25" i="11"/>
  <c r="H114" i="11"/>
  <c r="L8" i="11"/>
  <c r="F97" i="11"/>
  <c r="L21" i="11"/>
  <c r="F110" i="11"/>
  <c r="P34" i="11"/>
  <c r="H123" i="11"/>
  <c r="L14" i="11"/>
  <c r="F103" i="11"/>
  <c r="P22" i="11"/>
  <c r="H111" i="11"/>
  <c r="N41" i="11"/>
  <c r="G130" i="11"/>
  <c r="F94" i="11"/>
  <c r="L5" i="11"/>
  <c r="F131" i="11"/>
  <c r="L42" i="11"/>
  <c r="J23" i="11"/>
  <c r="E112" i="11"/>
  <c r="P10" i="11"/>
  <c r="H99" i="11"/>
  <c r="R27" i="11"/>
  <c r="I116" i="11"/>
  <c r="J11" i="11"/>
  <c r="E100" i="11"/>
  <c r="J37" i="11"/>
  <c r="E126" i="11"/>
  <c r="N9" i="11"/>
  <c r="G98" i="11"/>
  <c r="P12" i="11"/>
  <c r="H101" i="11"/>
  <c r="J30" i="11"/>
  <c r="E119" i="11"/>
  <c r="P18" i="11"/>
  <c r="H107" i="11"/>
  <c r="L17" i="11"/>
  <c r="F106" i="11"/>
  <c r="J38" i="11"/>
  <c r="E127" i="11"/>
  <c r="P43" i="11"/>
  <c r="H132" i="11"/>
  <c r="J32" i="11"/>
  <c r="E121" i="11"/>
  <c r="L7" i="11"/>
  <c r="F96" i="11"/>
  <c r="L4" i="11"/>
  <c r="F93" i="11"/>
  <c r="J24" i="11"/>
  <c r="E113" i="11"/>
  <c r="G122" i="11"/>
  <c r="N33" i="11"/>
  <c r="N39" i="11"/>
  <c r="G128" i="11"/>
  <c r="B47" i="10"/>
  <c r="E47" i="10" s="1"/>
  <c r="B39" i="10"/>
  <c r="E39" i="10" s="1"/>
  <c r="B31" i="10"/>
  <c r="E31" i="10" s="1"/>
  <c r="B23" i="10"/>
  <c r="E23" i="10" s="1"/>
  <c r="B15" i="10"/>
  <c r="E15" i="10" s="1"/>
  <c r="B32" i="10"/>
  <c r="E32" i="10" s="1"/>
  <c r="B46" i="10"/>
  <c r="E46" i="10" s="1"/>
  <c r="B38" i="10"/>
  <c r="E38" i="10" s="1"/>
  <c r="B30" i="10"/>
  <c r="E30" i="10" s="1"/>
  <c r="B22" i="10"/>
  <c r="E22" i="10" s="1"/>
  <c r="B14" i="10"/>
  <c r="E14" i="10" s="1"/>
  <c r="B41" i="10"/>
  <c r="E41" i="10" s="1"/>
  <c r="B17" i="10"/>
  <c r="E17" i="10" s="1"/>
  <c r="B16" i="10"/>
  <c r="E16" i="10" s="1"/>
  <c r="B45" i="10"/>
  <c r="E45" i="10" s="1"/>
  <c r="B37" i="10"/>
  <c r="E37" i="10" s="1"/>
  <c r="B29" i="10"/>
  <c r="E29" i="10" s="1"/>
  <c r="B21" i="10"/>
  <c r="E21" i="10" s="1"/>
  <c r="B13" i="10"/>
  <c r="E13" i="10" s="1"/>
  <c r="B44" i="10"/>
  <c r="E44" i="10" s="1"/>
  <c r="B36" i="10"/>
  <c r="E36" i="10" s="1"/>
  <c r="B28" i="10"/>
  <c r="E28" i="10" s="1"/>
  <c r="B20" i="10"/>
  <c r="E20" i="10" s="1"/>
  <c r="B12" i="10"/>
  <c r="B40" i="10"/>
  <c r="E40" i="10" s="1"/>
  <c r="B51" i="10"/>
  <c r="E51" i="10" s="1"/>
  <c r="B43" i="10"/>
  <c r="E43" i="10" s="1"/>
  <c r="B35" i="10"/>
  <c r="E35" i="10" s="1"/>
  <c r="B27" i="10"/>
  <c r="E27" i="10" s="1"/>
  <c r="B19" i="10"/>
  <c r="E19" i="10" s="1"/>
  <c r="B24" i="10"/>
  <c r="E24" i="10" s="1"/>
  <c r="B50" i="10"/>
  <c r="E50" i="10" s="1"/>
  <c r="B42" i="10"/>
  <c r="E42" i="10" s="1"/>
  <c r="B34" i="10"/>
  <c r="E34" i="10" s="1"/>
  <c r="B26" i="10"/>
  <c r="E26" i="10" s="1"/>
  <c r="B18" i="10"/>
  <c r="E18" i="10" s="1"/>
  <c r="B49" i="10"/>
  <c r="E49" i="10" s="1"/>
  <c r="B33" i="10"/>
  <c r="E33" i="10" s="1"/>
  <c r="B25" i="10"/>
  <c r="E25" i="10" s="1"/>
  <c r="B48" i="10"/>
  <c r="E48" i="10" s="1"/>
  <c r="D39" i="7"/>
  <c r="F5" i="5"/>
  <c r="E2" i="6"/>
  <c r="E4" i="9" l="1"/>
  <c r="E6" i="9" s="1"/>
  <c r="E6" i="12"/>
  <c r="E4" i="12" s="1"/>
  <c r="E12" i="10"/>
  <c r="E56" i="10" s="1"/>
  <c r="E9" i="12" s="1"/>
  <c r="B56" i="10"/>
  <c r="F9" i="12"/>
  <c r="F11" i="12" s="1"/>
  <c r="F7" i="12"/>
  <c r="P9" i="11"/>
  <c r="H98" i="11"/>
  <c r="N21" i="11"/>
  <c r="G110" i="11"/>
  <c r="N36" i="11"/>
  <c r="G125" i="11"/>
  <c r="N6" i="11"/>
  <c r="G95" i="11"/>
  <c r="N20" i="11"/>
  <c r="G109" i="11"/>
  <c r="R10" i="11"/>
  <c r="I99" i="11"/>
  <c r="P33" i="11"/>
  <c r="H122" i="11"/>
  <c r="N7" i="11"/>
  <c r="G96" i="11"/>
  <c r="N17" i="11"/>
  <c r="G106" i="11"/>
  <c r="L32" i="11"/>
  <c r="F121" i="11"/>
  <c r="R18" i="11"/>
  <c r="I107" i="11"/>
  <c r="L37" i="11"/>
  <c r="F126" i="11"/>
  <c r="L23" i="11"/>
  <c r="F112" i="11"/>
  <c r="R22" i="11"/>
  <c r="I111" i="11"/>
  <c r="N8" i="11"/>
  <c r="G97" i="11"/>
  <c r="N15" i="11"/>
  <c r="G104" i="11"/>
  <c r="L29" i="11"/>
  <c r="F118" i="11"/>
  <c r="N19" i="11"/>
  <c r="G108" i="11"/>
  <c r="P39" i="11"/>
  <c r="H128" i="11"/>
  <c r="P41" i="11"/>
  <c r="H130" i="11"/>
  <c r="N42" i="11"/>
  <c r="G131" i="11"/>
  <c r="R43" i="11"/>
  <c r="I132" i="11"/>
  <c r="R25" i="11"/>
  <c r="I114" i="11"/>
  <c r="L13" i="11"/>
  <c r="F102" i="11"/>
  <c r="P40" i="11"/>
  <c r="H129" i="11"/>
  <c r="L24" i="11"/>
  <c r="F113" i="11"/>
  <c r="L11" i="11"/>
  <c r="F100" i="11"/>
  <c r="N14" i="11"/>
  <c r="G103" i="11"/>
  <c r="R16" i="11"/>
  <c r="I105" i="11"/>
  <c r="G94" i="11"/>
  <c r="N5" i="11"/>
  <c r="L30" i="11"/>
  <c r="F119" i="11"/>
  <c r="N4" i="11"/>
  <c r="G93" i="11"/>
  <c r="L38" i="11"/>
  <c r="F127" i="11"/>
  <c r="R12" i="11"/>
  <c r="I101" i="11"/>
  <c r="T27" i="11"/>
  <c r="J116" i="11"/>
  <c r="R34" i="11"/>
  <c r="I123" i="11"/>
  <c r="T35" i="11"/>
  <c r="J124" i="11"/>
  <c r="N28" i="11"/>
  <c r="G117" i="11"/>
  <c r="R26" i="11"/>
  <c r="I115" i="11"/>
  <c r="L31" i="11"/>
  <c r="F120" i="11"/>
  <c r="G5" i="5"/>
  <c r="G2" i="6" s="1"/>
  <c r="F2" i="6"/>
  <c r="D10" i="12" l="1"/>
  <c r="E7" i="12"/>
  <c r="D11" i="12"/>
  <c r="N38" i="11"/>
  <c r="G127" i="11"/>
  <c r="R40" i="11"/>
  <c r="I129" i="11"/>
  <c r="P4" i="11"/>
  <c r="H93" i="11"/>
  <c r="N13" i="11"/>
  <c r="G102" i="11"/>
  <c r="R41" i="11"/>
  <c r="I130" i="11"/>
  <c r="P15" i="11"/>
  <c r="H104" i="11"/>
  <c r="N37" i="11"/>
  <c r="G126" i="11"/>
  <c r="P7" i="11"/>
  <c r="H96" i="11"/>
  <c r="P6" i="11"/>
  <c r="H95" i="11"/>
  <c r="N31" i="11"/>
  <c r="G120" i="11"/>
  <c r="T34" i="11"/>
  <c r="J123" i="11"/>
  <c r="V27" i="11"/>
  <c r="K116" i="11"/>
  <c r="T25" i="11"/>
  <c r="J114" i="11"/>
  <c r="T18" i="11"/>
  <c r="J107" i="11"/>
  <c r="H125" i="11"/>
  <c r="P36" i="11"/>
  <c r="P14" i="11"/>
  <c r="H103" i="11"/>
  <c r="T26" i="11"/>
  <c r="J115" i="11"/>
  <c r="N30" i="11"/>
  <c r="G119" i="11"/>
  <c r="N11" i="11"/>
  <c r="G100" i="11"/>
  <c r="R39" i="11"/>
  <c r="I128" i="11"/>
  <c r="P8" i="11"/>
  <c r="H97" i="11"/>
  <c r="R33" i="11"/>
  <c r="I122" i="11"/>
  <c r="H94" i="11"/>
  <c r="P5" i="11"/>
  <c r="P28" i="11"/>
  <c r="H117" i="11"/>
  <c r="N24" i="11"/>
  <c r="G113" i="11"/>
  <c r="T43" i="11"/>
  <c r="J132" i="11"/>
  <c r="P19" i="11"/>
  <c r="H108" i="11"/>
  <c r="T22" i="11"/>
  <c r="J111" i="11"/>
  <c r="N32" i="11"/>
  <c r="G121" i="11"/>
  <c r="T10" i="11"/>
  <c r="J99" i="11"/>
  <c r="P21" i="11"/>
  <c r="H110" i="11"/>
  <c r="T12" i="11"/>
  <c r="J101" i="11"/>
  <c r="V35" i="11"/>
  <c r="K124" i="11"/>
  <c r="T16" i="11"/>
  <c r="J105" i="11"/>
  <c r="H131" i="11"/>
  <c r="P42" i="11"/>
  <c r="N29" i="11"/>
  <c r="G118" i="11"/>
  <c r="N23" i="11"/>
  <c r="G112" i="11"/>
  <c r="P17" i="11"/>
  <c r="H106" i="11"/>
  <c r="P20" i="11"/>
  <c r="H109" i="11"/>
  <c r="R9" i="11"/>
  <c r="I98" i="11"/>
  <c r="P23" i="11" l="1"/>
  <c r="H112" i="11"/>
  <c r="P32" i="11"/>
  <c r="H121" i="11"/>
  <c r="K115" i="11"/>
  <c r="V26" i="11"/>
  <c r="T9" i="11"/>
  <c r="J98" i="11"/>
  <c r="V12" i="11"/>
  <c r="K101" i="11"/>
  <c r="K111" i="11"/>
  <c r="V22" i="11"/>
  <c r="R28" i="11"/>
  <c r="I117" i="11"/>
  <c r="T39" i="11"/>
  <c r="J128" i="11"/>
  <c r="R14" i="11"/>
  <c r="I103" i="11"/>
  <c r="X27" i="11"/>
  <c r="L116" i="11"/>
  <c r="R7" i="11"/>
  <c r="I96" i="11"/>
  <c r="P13" i="11"/>
  <c r="H102" i="11"/>
  <c r="I94" i="11"/>
  <c r="R5" i="11"/>
  <c r="R36" i="11"/>
  <c r="I125" i="11"/>
  <c r="R42" i="11"/>
  <c r="I131" i="11"/>
  <c r="P11" i="11"/>
  <c r="H100" i="11"/>
  <c r="P37" i="11"/>
  <c r="H126" i="11"/>
  <c r="P29" i="11"/>
  <c r="H118" i="11"/>
  <c r="R20" i="11"/>
  <c r="I109" i="11"/>
  <c r="R21" i="11"/>
  <c r="I110" i="11"/>
  <c r="R19" i="11"/>
  <c r="I108" i="11"/>
  <c r="V34" i="11"/>
  <c r="K123" i="11"/>
  <c r="R4" i="11"/>
  <c r="I93" i="11"/>
  <c r="R17" i="11"/>
  <c r="I106" i="11"/>
  <c r="V16" i="11"/>
  <c r="K105" i="11"/>
  <c r="V10" i="11"/>
  <c r="K99" i="11"/>
  <c r="V43" i="11"/>
  <c r="K132" i="11"/>
  <c r="T33" i="11"/>
  <c r="J122" i="11"/>
  <c r="P30" i="11"/>
  <c r="H119" i="11"/>
  <c r="V18" i="11"/>
  <c r="K107" i="11"/>
  <c r="P31" i="11"/>
  <c r="H120" i="11"/>
  <c r="R15" i="11"/>
  <c r="I104" i="11"/>
  <c r="J129" i="11"/>
  <c r="T40" i="11"/>
  <c r="X35" i="11"/>
  <c r="L124" i="11"/>
  <c r="P24" i="11"/>
  <c r="H113" i="11"/>
  <c r="R8" i="11"/>
  <c r="I97" i="11"/>
  <c r="V25" i="11"/>
  <c r="K114" i="11"/>
  <c r="R6" i="11"/>
  <c r="I95" i="11"/>
  <c r="T41" i="11"/>
  <c r="J130" i="11"/>
  <c r="P38" i="11"/>
  <c r="H127" i="11"/>
  <c r="X18" i="11" l="1"/>
  <c r="L107" i="11"/>
  <c r="R29" i="11"/>
  <c r="I118" i="11"/>
  <c r="R32" i="11"/>
  <c r="I121" i="11"/>
  <c r="V40" i="11"/>
  <c r="K129" i="11"/>
  <c r="X25" i="11"/>
  <c r="L114" i="11"/>
  <c r="T17" i="11"/>
  <c r="J106" i="11"/>
  <c r="T8" i="11"/>
  <c r="J97" i="11"/>
  <c r="T21" i="11"/>
  <c r="J110" i="11"/>
  <c r="T15" i="11"/>
  <c r="J104" i="11"/>
  <c r="R11" i="11"/>
  <c r="I100" i="11"/>
  <c r="V9" i="11"/>
  <c r="K98" i="11"/>
  <c r="V41" i="11"/>
  <c r="K130" i="11"/>
  <c r="R31" i="11"/>
  <c r="I120" i="11"/>
  <c r="T20" i="11"/>
  <c r="J109" i="11"/>
  <c r="T7" i="11"/>
  <c r="J96" i="11"/>
  <c r="T28" i="11"/>
  <c r="J117" i="11"/>
  <c r="R38" i="11"/>
  <c r="I127" i="11"/>
  <c r="V33" i="11"/>
  <c r="K122" i="11"/>
  <c r="R13" i="11"/>
  <c r="I102" i="11"/>
  <c r="V39" i="11"/>
  <c r="K128" i="11"/>
  <c r="X26" i="11"/>
  <c r="L115" i="11"/>
  <c r="R24" i="11"/>
  <c r="I113" i="11"/>
  <c r="X43" i="11"/>
  <c r="L132" i="11"/>
  <c r="T4" i="11"/>
  <c r="J93" i="11"/>
  <c r="T42" i="11"/>
  <c r="J131" i="11"/>
  <c r="X22" i="11"/>
  <c r="L111" i="11"/>
  <c r="X34" i="11"/>
  <c r="L123" i="11"/>
  <c r="Z35" i="11"/>
  <c r="M124" i="11"/>
  <c r="Z27" i="11"/>
  <c r="M116" i="11"/>
  <c r="J94" i="11"/>
  <c r="T5" i="11"/>
  <c r="T6" i="11"/>
  <c r="J95" i="11"/>
  <c r="X10" i="11"/>
  <c r="L99" i="11"/>
  <c r="T36" i="11"/>
  <c r="J125" i="11"/>
  <c r="R30" i="11"/>
  <c r="I119" i="11"/>
  <c r="X16" i="11"/>
  <c r="L105" i="11"/>
  <c r="T19" i="11"/>
  <c r="J108" i="11"/>
  <c r="R37" i="11"/>
  <c r="I126" i="11"/>
  <c r="T14" i="11"/>
  <c r="J103" i="11"/>
  <c r="X12" i="11"/>
  <c r="L101" i="11"/>
  <c r="R23" i="11"/>
  <c r="I112" i="11"/>
  <c r="T30" i="11" l="1"/>
  <c r="J119" i="11"/>
  <c r="V36" i="11"/>
  <c r="K125" i="11"/>
  <c r="V42" i="11"/>
  <c r="K131" i="11"/>
  <c r="V19" i="11"/>
  <c r="K108" i="11"/>
  <c r="X39" i="11"/>
  <c r="L128" i="11"/>
  <c r="X41" i="11"/>
  <c r="L130" i="11"/>
  <c r="V21" i="11"/>
  <c r="K110" i="11"/>
  <c r="X40" i="11"/>
  <c r="L129" i="11"/>
  <c r="V4" i="11"/>
  <c r="K93" i="11"/>
  <c r="T23" i="11"/>
  <c r="J112" i="11"/>
  <c r="AB35" i="11"/>
  <c r="O124" i="11" s="1"/>
  <c r="N124" i="11"/>
  <c r="Z16" i="11"/>
  <c r="M105" i="11"/>
  <c r="T13" i="11"/>
  <c r="J102" i="11"/>
  <c r="T32" i="11"/>
  <c r="J121" i="11"/>
  <c r="Z10" i="11"/>
  <c r="M99" i="11"/>
  <c r="V28" i="11"/>
  <c r="K117" i="11"/>
  <c r="Z12" i="11"/>
  <c r="M101" i="11"/>
  <c r="V6" i="11"/>
  <c r="K95" i="11"/>
  <c r="Z34" i="11"/>
  <c r="M123" i="11"/>
  <c r="Z43" i="11"/>
  <c r="M132" i="11"/>
  <c r="V7" i="11"/>
  <c r="K96" i="11"/>
  <c r="X9" i="11"/>
  <c r="L98" i="11"/>
  <c r="V8" i="11"/>
  <c r="K97" i="11"/>
  <c r="K94" i="11"/>
  <c r="V5" i="11"/>
  <c r="T24" i="11"/>
  <c r="J113" i="11"/>
  <c r="V20" i="11"/>
  <c r="K109" i="11"/>
  <c r="T11" i="11"/>
  <c r="J100" i="11"/>
  <c r="V17" i="11"/>
  <c r="K106" i="11"/>
  <c r="T29" i="11"/>
  <c r="J118" i="11"/>
  <c r="V14" i="11"/>
  <c r="K103" i="11"/>
  <c r="X33" i="11"/>
  <c r="L122" i="11"/>
  <c r="Z22" i="11"/>
  <c r="M111" i="11"/>
  <c r="T37" i="11"/>
  <c r="J126" i="11"/>
  <c r="AB27" i="11"/>
  <c r="O116" i="11" s="1"/>
  <c r="B116" i="11" s="1"/>
  <c r="P116" i="11" s="1"/>
  <c r="N116" i="11"/>
  <c r="Z26" i="11"/>
  <c r="M115" i="11"/>
  <c r="T38" i="11"/>
  <c r="J127" i="11"/>
  <c r="T31" i="11"/>
  <c r="J120" i="11"/>
  <c r="V15" i="11"/>
  <c r="K104" i="11"/>
  <c r="Z25" i="11"/>
  <c r="M114" i="11"/>
  <c r="Z18" i="11"/>
  <c r="M107" i="11"/>
  <c r="B124" i="11" l="1"/>
  <c r="P124" i="11" s="1"/>
  <c r="L94" i="11"/>
  <c r="X5" i="11"/>
  <c r="X17" i="11"/>
  <c r="L106" i="11"/>
  <c r="X19" i="11"/>
  <c r="L108" i="11"/>
  <c r="V38" i="11"/>
  <c r="K127" i="11"/>
  <c r="AB16" i="11"/>
  <c r="O105" i="11" s="1"/>
  <c r="N105" i="11"/>
  <c r="AB22" i="11"/>
  <c r="O111" i="11" s="1"/>
  <c r="N111" i="11"/>
  <c r="X28" i="11"/>
  <c r="L117" i="11"/>
  <c r="AB26" i="11"/>
  <c r="O115" i="11" s="1"/>
  <c r="N115" i="11"/>
  <c r="Z33" i="11"/>
  <c r="M122" i="11"/>
  <c r="X8" i="11"/>
  <c r="L97" i="11"/>
  <c r="AB34" i="11"/>
  <c r="O123" i="11" s="1"/>
  <c r="N123" i="11"/>
  <c r="AB10" i="11"/>
  <c r="O99" i="11" s="1"/>
  <c r="N99" i="11"/>
  <c r="X21" i="11"/>
  <c r="L110" i="11"/>
  <c r="X42" i="11"/>
  <c r="L131" i="11"/>
  <c r="AB18" i="11"/>
  <c r="O107" i="11" s="1"/>
  <c r="N107" i="11"/>
  <c r="AB43" i="11"/>
  <c r="O132" i="11" s="1"/>
  <c r="N132" i="11"/>
  <c r="Z40" i="11"/>
  <c r="M129" i="11"/>
  <c r="AB25" i="11"/>
  <c r="O114" i="11" s="1"/>
  <c r="N114" i="11"/>
  <c r="V11" i="11"/>
  <c r="K100" i="11"/>
  <c r="X20" i="11"/>
  <c r="L109" i="11"/>
  <c r="Z41" i="11"/>
  <c r="M130" i="11"/>
  <c r="Z9" i="11"/>
  <c r="M98" i="11"/>
  <c r="V32" i="11"/>
  <c r="K121" i="11"/>
  <c r="V23" i="11"/>
  <c r="K112" i="11"/>
  <c r="X36" i="11"/>
  <c r="L125" i="11"/>
  <c r="X15" i="11"/>
  <c r="L104" i="11"/>
  <c r="X14" i="11"/>
  <c r="L103" i="11"/>
  <c r="X6" i="11"/>
  <c r="L95" i="11"/>
  <c r="V31" i="11"/>
  <c r="K120" i="11"/>
  <c r="V37" i="11"/>
  <c r="K126" i="11"/>
  <c r="V29" i="11"/>
  <c r="K118" i="11"/>
  <c r="V24" i="11"/>
  <c r="K113" i="11"/>
  <c r="X7" i="11"/>
  <c r="L96" i="11"/>
  <c r="AB12" i="11"/>
  <c r="O101" i="11" s="1"/>
  <c r="N101" i="11"/>
  <c r="V13" i="11"/>
  <c r="K102" i="11"/>
  <c r="X4" i="11"/>
  <c r="L93" i="11"/>
  <c r="Z39" i="11"/>
  <c r="M128" i="11"/>
  <c r="V30" i="11"/>
  <c r="K119" i="11"/>
  <c r="B107" i="11" l="1"/>
  <c r="P107" i="11" s="1"/>
  <c r="B123" i="11"/>
  <c r="P123" i="11" s="1"/>
  <c r="B101" i="11"/>
  <c r="P101" i="11" s="1"/>
  <c r="B114" i="11"/>
  <c r="P114" i="11" s="1"/>
  <c r="B111" i="11"/>
  <c r="P111" i="11" s="1"/>
  <c r="B105" i="11"/>
  <c r="P105" i="11" s="1"/>
  <c r="B132" i="11"/>
  <c r="P132" i="11" s="1"/>
  <c r="B99" i="11"/>
  <c r="P99" i="11" s="1"/>
  <c r="B115" i="11"/>
  <c r="P115" i="11" s="1"/>
  <c r="X30" i="11"/>
  <c r="L119" i="11"/>
  <c r="Z7" i="11"/>
  <c r="M96" i="11"/>
  <c r="X31" i="11"/>
  <c r="L120" i="11"/>
  <c r="Z36" i="11"/>
  <c r="M125" i="11"/>
  <c r="AB40" i="11"/>
  <c r="O129" i="11" s="1"/>
  <c r="N129" i="11"/>
  <c r="Z21" i="11"/>
  <c r="M110" i="11"/>
  <c r="AB33" i="11"/>
  <c r="O122" i="11" s="1"/>
  <c r="N122" i="11"/>
  <c r="X24" i="11"/>
  <c r="L113" i="11"/>
  <c r="X23" i="11"/>
  <c r="L112" i="11"/>
  <c r="X38" i="11"/>
  <c r="L127" i="11"/>
  <c r="Z4" i="11"/>
  <c r="M93" i="11"/>
  <c r="AB39" i="11"/>
  <c r="O128" i="11" s="1"/>
  <c r="N128" i="11"/>
  <c r="Z6" i="11"/>
  <c r="M95" i="11"/>
  <c r="Z20" i="11"/>
  <c r="M109" i="11"/>
  <c r="X13" i="11"/>
  <c r="L102" i="11"/>
  <c r="X29" i="11"/>
  <c r="L118" i="11"/>
  <c r="Z14" i="11"/>
  <c r="M103" i="11"/>
  <c r="X32" i="11"/>
  <c r="L121" i="11"/>
  <c r="X11" i="11"/>
  <c r="L100" i="11"/>
  <c r="Z28" i="11"/>
  <c r="M117" i="11"/>
  <c r="Z19" i="11"/>
  <c r="M108" i="11"/>
  <c r="Z15" i="11"/>
  <c r="M104" i="11"/>
  <c r="AB9" i="11"/>
  <c r="O98" i="11" s="1"/>
  <c r="N98" i="11"/>
  <c r="Z42" i="11"/>
  <c r="M131" i="11"/>
  <c r="Z8" i="11"/>
  <c r="M97" i="11"/>
  <c r="Z17" i="11"/>
  <c r="M106" i="11"/>
  <c r="X37" i="11"/>
  <c r="L126" i="11"/>
  <c r="M94" i="11"/>
  <c r="Z5" i="11"/>
  <c r="AB41" i="11"/>
  <c r="O130" i="11" s="1"/>
  <c r="N130" i="11"/>
  <c r="B122" i="11" l="1"/>
  <c r="P122" i="11" s="1"/>
  <c r="B98" i="11"/>
  <c r="P98" i="11" s="1"/>
  <c r="B130" i="11"/>
  <c r="P130" i="11" s="1"/>
  <c r="B129" i="11"/>
  <c r="P129" i="11" s="1"/>
  <c r="B128" i="11"/>
  <c r="P128" i="11" s="1"/>
  <c r="N94" i="11"/>
  <c r="AB5" i="11"/>
  <c r="O94" i="11" s="1"/>
  <c r="B94" i="11" s="1"/>
  <c r="P94" i="11" s="1"/>
  <c r="AB28" i="11"/>
  <c r="O117" i="11" s="1"/>
  <c r="N117" i="11"/>
  <c r="Z24" i="11"/>
  <c r="M113" i="11"/>
  <c r="Z13" i="11"/>
  <c r="M102" i="11"/>
  <c r="AB4" i="11"/>
  <c r="O93" i="11" s="1"/>
  <c r="N93" i="11"/>
  <c r="Z31" i="11"/>
  <c r="M120" i="11"/>
  <c r="AB36" i="11"/>
  <c r="O125" i="11" s="1"/>
  <c r="N125" i="11"/>
  <c r="Z11" i="11"/>
  <c r="M100" i="11"/>
  <c r="AB42" i="11"/>
  <c r="O131" i="11" s="1"/>
  <c r="N131" i="11"/>
  <c r="Z29" i="11"/>
  <c r="M118" i="11"/>
  <c r="AB17" i="11"/>
  <c r="O106" i="11" s="1"/>
  <c r="N106" i="11"/>
  <c r="AB20" i="11"/>
  <c r="O109" i="11" s="1"/>
  <c r="N109" i="11"/>
  <c r="AB21" i="11"/>
  <c r="O110" i="11" s="1"/>
  <c r="N110" i="11"/>
  <c r="AB7" i="11"/>
  <c r="O96" i="11" s="1"/>
  <c r="N96" i="11"/>
  <c r="Z37" i="11"/>
  <c r="M126" i="11"/>
  <c r="AB15" i="11"/>
  <c r="O104" i="11" s="1"/>
  <c r="N104" i="11"/>
  <c r="Z32" i="11"/>
  <c r="M121" i="11"/>
  <c r="Z38" i="11"/>
  <c r="M127" i="11"/>
  <c r="AB8" i="11"/>
  <c r="O97" i="11" s="1"/>
  <c r="N97" i="11"/>
  <c r="AB19" i="11"/>
  <c r="O108" i="11" s="1"/>
  <c r="N108" i="11"/>
  <c r="AB14" i="11"/>
  <c r="O103" i="11" s="1"/>
  <c r="N103" i="11"/>
  <c r="AB6" i="11"/>
  <c r="O95" i="11" s="1"/>
  <c r="N95" i="11"/>
  <c r="Z23" i="11"/>
  <c r="M112" i="11"/>
  <c r="Z30" i="11"/>
  <c r="M119" i="11"/>
  <c r="B108" i="11" l="1"/>
  <c r="P108" i="11" s="1"/>
  <c r="B95" i="11"/>
  <c r="P95" i="11" s="1"/>
  <c r="B96" i="11"/>
  <c r="P96" i="11" s="1"/>
  <c r="B117" i="11"/>
  <c r="P117" i="11" s="1"/>
  <c r="B103" i="11"/>
  <c r="P103" i="11" s="1"/>
  <c r="B110" i="11"/>
  <c r="P110" i="11" s="1"/>
  <c r="B131" i="11"/>
  <c r="P131" i="11" s="1"/>
  <c r="B93" i="11"/>
  <c r="P93" i="11" s="1"/>
  <c r="B109" i="11"/>
  <c r="P109" i="11" s="1"/>
  <c r="B97" i="11"/>
  <c r="P97" i="11" s="1"/>
  <c r="B106" i="11"/>
  <c r="P106" i="11" s="1"/>
  <c r="B125" i="11"/>
  <c r="P125" i="11" s="1"/>
  <c r="B104" i="11"/>
  <c r="P104" i="11" s="1"/>
  <c r="AB13" i="11"/>
  <c r="O102" i="11" s="1"/>
  <c r="N102" i="11"/>
  <c r="AB30" i="11"/>
  <c r="O119" i="11" s="1"/>
  <c r="N119" i="11"/>
  <c r="AB23" i="11"/>
  <c r="O112" i="11" s="1"/>
  <c r="N112" i="11"/>
  <c r="AB11" i="11"/>
  <c r="O100" i="11" s="1"/>
  <c r="N100" i="11"/>
  <c r="AB37" i="11"/>
  <c r="O126" i="11" s="1"/>
  <c r="N126" i="11"/>
  <c r="AB24" i="11"/>
  <c r="O113" i="11" s="1"/>
  <c r="N113" i="11"/>
  <c r="AB31" i="11"/>
  <c r="O120" i="11" s="1"/>
  <c r="N120" i="11"/>
  <c r="AB38" i="11"/>
  <c r="O127" i="11" s="1"/>
  <c r="N127" i="11"/>
  <c r="AB29" i="11"/>
  <c r="O118" i="11" s="1"/>
  <c r="N118" i="11"/>
  <c r="AB32" i="11"/>
  <c r="O121" i="11" s="1"/>
  <c r="N121" i="11"/>
  <c r="B127" i="11" l="1"/>
  <c r="P127" i="11" s="1"/>
  <c r="B121" i="11"/>
  <c r="P121" i="11" s="1"/>
  <c r="B113" i="11"/>
  <c r="P113" i="11" s="1"/>
  <c r="B119" i="11"/>
  <c r="P119" i="11" s="1"/>
  <c r="B100" i="11"/>
  <c r="P100" i="11" s="1"/>
  <c r="B118" i="11"/>
  <c r="P118" i="11" s="1"/>
  <c r="B126" i="11"/>
  <c r="P126" i="11" s="1"/>
  <c r="B102" i="11"/>
  <c r="P102" i="11" s="1"/>
  <c r="B120" i="11"/>
  <c r="P120" i="11" s="1"/>
  <c r="B112" i="11"/>
  <c r="P112" i="11" s="1"/>
  <c r="P134" i="11" l="1"/>
  <c r="F10" i="12" s="1"/>
  <c r="E10" i="12" l="1"/>
  <c r="E11" i="12" s="1"/>
</calcChain>
</file>

<file path=xl/sharedStrings.xml><?xml version="1.0" encoding="utf-8"?>
<sst xmlns="http://schemas.openxmlformats.org/spreadsheetml/2006/main" count="1134" uniqueCount="320">
  <si>
    <t>Cable</t>
  </si>
  <si>
    <t>mts</t>
  </si>
  <si>
    <t>Pegamento</t>
  </si>
  <si>
    <t>Baquelita</t>
  </si>
  <si>
    <t>Cantidad</t>
  </si>
  <si>
    <t>Material</t>
  </si>
  <si>
    <t>Bateria</t>
  </si>
  <si>
    <t>INYECCION</t>
  </si>
  <si>
    <t>IMPRESIÓN</t>
  </si>
  <si>
    <t>SOLDADURA</t>
  </si>
  <si>
    <t>ENSAMBLE</t>
  </si>
  <si>
    <t xml:space="preserve">CONTROL </t>
  </si>
  <si>
    <t>EMBALAJE</t>
  </si>
  <si>
    <t>TOTALES (u/año)</t>
  </si>
  <si>
    <t>Inyeccion</t>
  </si>
  <si>
    <t>Impresión</t>
  </si>
  <si>
    <t>Agujereado</t>
  </si>
  <si>
    <t>Soldadura</t>
  </si>
  <si>
    <t>Ensamble</t>
  </si>
  <si>
    <t>Control</t>
  </si>
  <si>
    <t>Embalaje</t>
  </si>
  <si>
    <t>Baquelita [kg]</t>
  </si>
  <si>
    <t>Plaqueta de cobre [u]</t>
  </si>
  <si>
    <t>Componentes Electronicos [u]</t>
  </si>
  <si>
    <t>Bateria [u]   Tornillos [u]   Cable [mts]    Pegamento [gr]</t>
  </si>
  <si>
    <t>Cargador [u]   Manual [u]   Bolsa plastica [u]   Caja de Carton [u]</t>
  </si>
  <si>
    <t>AGUJEREADO</t>
  </si>
  <si>
    <t>%Recup.</t>
  </si>
  <si>
    <t>%No Recup.</t>
  </si>
  <si>
    <t>1 u =</t>
  </si>
  <si>
    <t>Plaqueta de cobre</t>
  </si>
  <si>
    <t>1 u</t>
  </si>
  <si>
    <t>Cargador</t>
  </si>
  <si>
    <t>Manual</t>
  </si>
  <si>
    <t>Bolsa Plastica</t>
  </si>
  <si>
    <t>Caja Carton</t>
  </si>
  <si>
    <t>Tornillos</t>
  </si>
  <si>
    <t>10 u</t>
  </si>
  <si>
    <t>gr</t>
  </si>
  <si>
    <t>0,3 mts</t>
  </si>
  <si>
    <t>30 gr</t>
  </si>
  <si>
    <t>Circuito integrado MC9508JM</t>
  </si>
  <si>
    <t>Capacitor electrolitico de 0,1 uf</t>
  </si>
  <si>
    <t>x</t>
  </si>
  <si>
    <t>9 u</t>
  </si>
  <si>
    <t xml:space="preserve">      </t>
  </si>
  <si>
    <t>Capacitor electrolitico de 10 uf</t>
  </si>
  <si>
    <t xml:space="preserve">     </t>
  </si>
  <si>
    <t>Capacitor electrolitico de 22pf</t>
  </si>
  <si>
    <t>Circuito integrado bluetooth</t>
  </si>
  <si>
    <t>2 u</t>
  </si>
  <si>
    <t>Circuito integrado motor</t>
  </si>
  <si>
    <t>Jumpers</t>
  </si>
  <si>
    <t>Transistor mosfet N</t>
  </si>
  <si>
    <t>3 u</t>
  </si>
  <si>
    <t>Cristal de 12MHz</t>
  </si>
  <si>
    <t>Resistencia 10M</t>
  </si>
  <si>
    <t>4 u</t>
  </si>
  <si>
    <t>Resistencia 10k</t>
  </si>
  <si>
    <t>Resistencia de 240 ohms</t>
  </si>
  <si>
    <t>6 u</t>
  </si>
  <si>
    <t>Conector de 3 term</t>
  </si>
  <si>
    <t>Plaqueta impresa</t>
  </si>
  <si>
    <t>Circuito integrado MC9S08SH8</t>
  </si>
  <si>
    <t>Circuito integrado DIP8</t>
  </si>
  <si>
    <t xml:space="preserve">   </t>
  </si>
  <si>
    <t>Jack 3,5mm</t>
  </si>
  <si>
    <t>Pulsador</t>
  </si>
  <si>
    <t>Circuito integrado amplificador operacional TL082D</t>
  </si>
  <si>
    <t>Circuito integrado MC6002</t>
  </si>
  <si>
    <t>Circuito integrado LM393P</t>
  </si>
  <si>
    <t>Diodo 1N4148</t>
  </si>
  <si>
    <t>Resistencia de 4k7</t>
  </si>
  <si>
    <t>Diodos led</t>
  </si>
  <si>
    <t>7 u</t>
  </si>
  <si>
    <t>Resistencia de 330 ohm</t>
  </si>
  <si>
    <t>Resistencia de 47k</t>
  </si>
  <si>
    <t>Resistencia de 15k</t>
  </si>
  <si>
    <t>Resistencia de 100R</t>
  </si>
  <si>
    <t>Resistencia de 180R</t>
  </si>
  <si>
    <t>Capacitor electrolitico de 1 uf</t>
  </si>
  <si>
    <t>Plan de Ventas</t>
  </si>
  <si>
    <t>Año 1</t>
  </si>
  <si>
    <t>Año 2</t>
  </si>
  <si>
    <t>Año 3</t>
  </si>
  <si>
    <t>Año 4</t>
  </si>
  <si>
    <t>Año 5</t>
  </si>
  <si>
    <t>Año 6</t>
  </si>
  <si>
    <t>Año 7</t>
  </si>
  <si>
    <t>Prod [u]</t>
  </si>
  <si>
    <t>ENTRADA 1</t>
  </si>
  <si>
    <t>ENTRADA 2</t>
  </si>
  <si>
    <t>Cantidad PT</t>
  </si>
  <si>
    <t>Unidad PT</t>
  </si>
  <si>
    <t>Cantidad MP</t>
  </si>
  <si>
    <t>Unidad MP</t>
  </si>
  <si>
    <t>kg</t>
  </si>
  <si>
    <t>u</t>
  </si>
  <si>
    <t>ENTRADA [unidad PT]</t>
  </si>
  <si>
    <t>SALIDA [unidad PT]</t>
  </si>
  <si>
    <t>ENTRADA [unidad MP]</t>
  </si>
  <si>
    <t>Entrada 1</t>
  </si>
  <si>
    <t>Entrada 2</t>
  </si>
  <si>
    <t>23 u</t>
  </si>
  <si>
    <t>14 u</t>
  </si>
  <si>
    <t>dias/año</t>
  </si>
  <si>
    <t>dias de vacaciones</t>
  </si>
  <si>
    <t>Sabados y Dom</t>
  </si>
  <si>
    <t>Feriados obligatorios</t>
  </si>
  <si>
    <t>a) Horas Activas/año de las maquinas operativas</t>
  </si>
  <si>
    <t xml:space="preserve">Dias activos/año: </t>
  </si>
  <si>
    <t>Horas activas/año:</t>
  </si>
  <si>
    <t>horas/año</t>
  </si>
  <si>
    <t>b) Horas/año trabajados por cada operario</t>
  </si>
  <si>
    <t xml:space="preserve">Horas/año trabajadas </t>
  </si>
  <si>
    <t>año</t>
  </si>
  <si>
    <t>=</t>
  </si>
  <si>
    <t>dias</t>
  </si>
  <si>
    <t>Turno</t>
  </si>
  <si>
    <t>Horas</t>
  </si>
  <si>
    <t xml:space="preserve">Trabajo: </t>
  </si>
  <si>
    <t>Lunes a Viernes</t>
  </si>
  <si>
    <t>Dias no laborable</t>
  </si>
  <si>
    <t>Capacidad Inyección</t>
  </si>
  <si>
    <t>Capacidad Inyección [u]</t>
  </si>
  <si>
    <t>Tiempo Inyeccion [h]</t>
  </si>
  <si>
    <t>Capacidad teorica [u /h]</t>
  </si>
  <si>
    <t>Capacidad impresión [u]</t>
  </si>
  <si>
    <t>Velocidad Inyeccion</t>
  </si>
  <si>
    <t>g/s</t>
  </si>
  <si>
    <t>Velocidad Plastificacion</t>
  </si>
  <si>
    <t>1 u Mano mioelectrica</t>
  </si>
  <si>
    <t>g</t>
  </si>
  <si>
    <t>1 u plaqueta</t>
  </si>
  <si>
    <t>Tiempo por inyección</t>
  </si>
  <si>
    <t>s</t>
  </si>
  <si>
    <t>Tiempo por impresión</t>
  </si>
  <si>
    <t>min</t>
  </si>
  <si>
    <t>Capacidad Soldadura</t>
  </si>
  <si>
    <t>Capacidad Ensamble</t>
  </si>
  <si>
    <t>Capacidad soldadura [u]</t>
  </si>
  <si>
    <t>Tiempo soldadura [h]</t>
  </si>
  <si>
    <t>Capacidad ensamble [u]</t>
  </si>
  <si>
    <t>Tiempo ensamble [h]</t>
  </si>
  <si>
    <t>Velocidad soldador promedio</t>
  </si>
  <si>
    <t>min/u</t>
  </si>
  <si>
    <t>Velocidad armador  promedio</t>
  </si>
  <si>
    <t>Cantidad de Soldadores</t>
  </si>
  <si>
    <t>personas</t>
  </si>
  <si>
    <t>Cantidad de Armadores</t>
  </si>
  <si>
    <t>Tiempo por soldadura</t>
  </si>
  <si>
    <t>Capacidad Embalaje</t>
  </si>
  <si>
    <t>Capacidad embalaje [u]</t>
  </si>
  <si>
    <t>Tiempo embalaje [h]</t>
  </si>
  <si>
    <t>Velocidad operario promedio</t>
  </si>
  <si>
    <t>Cantidad de Operarios Deposito</t>
  </si>
  <si>
    <t>Tiempo por embalaje</t>
  </si>
  <si>
    <t>1,5 kg</t>
  </si>
  <si>
    <t>Impresora CNC 3018</t>
  </si>
  <si>
    <t>Agujereadora CNC 3018</t>
  </si>
  <si>
    <t>Tiempo Impresion [h]</t>
  </si>
  <si>
    <t>Tiempo Agujereado [h]</t>
  </si>
  <si>
    <t>Impresión placa 5x3 cm</t>
  </si>
  <si>
    <t>Agujereado placa 5x3 cm</t>
  </si>
  <si>
    <t>Secciones
operativas</t>
  </si>
  <si>
    <t>Capacidad teórica  máquinas x hora</t>
  </si>
  <si>
    <t>Horas activas / año</t>
  </si>
  <si>
    <t>Capacidad teórica  máquina x año</t>
  </si>
  <si>
    <t>Rendimiento operativo %</t>
  </si>
  <si>
    <t>Capacidad real  máquinas x año</t>
  </si>
  <si>
    <t>Paro por limpieza de maquinarias</t>
  </si>
  <si>
    <t>Tiempo[h]</t>
  </si>
  <si>
    <t>Frecuencia anual</t>
  </si>
  <si>
    <t>Tiempo anual [h]</t>
  </si>
  <si>
    <t>El paro por mantenimiento preventivo se realizará en el cierre de la planta por vacaciones, siendo ese tiempo ya incluído en el punto 2</t>
  </si>
  <si>
    <t>CAPACIDAD TEORICA POR PUESTO</t>
  </si>
  <si>
    <t>Capacidad Control [u]</t>
  </si>
  <si>
    <t>Tiempo Control [h]</t>
  </si>
  <si>
    <t>Cantidad de Operarios Control</t>
  </si>
  <si>
    <t>Tiempo por unidad</t>
  </si>
  <si>
    <t>Capacidad Control</t>
  </si>
  <si>
    <t>Programación anual de la producción [U]</t>
  </si>
  <si>
    <t>Capacidad real / máquina x año</t>
  </si>
  <si>
    <t xml:space="preserve">Cantidad de máquinas necesarias </t>
  </si>
  <si>
    <t>Capacidad real / sección x año</t>
  </si>
  <si>
    <t>Aprovechamiento seccional (%)</t>
  </si>
  <si>
    <t>Ejercicio 6: Evolución de la producción</t>
  </si>
  <si>
    <t>A) Volumen de producción mensual en estado de régimen</t>
  </si>
  <si>
    <t>Paro de planta por vacaciones y mantenimiento</t>
  </si>
  <si>
    <t>mes</t>
  </si>
  <si>
    <t>Feriados:</t>
  </si>
  <si>
    <t>Producción [U]</t>
  </si>
  <si>
    <t>Producción mensual promedio [U/Mes]</t>
  </si>
  <si>
    <t>B) Volumen de producción durante el perído de puesta en marcha</t>
  </si>
  <si>
    <t>Mes</t>
  </si>
  <si>
    <t>Ritmo de producción al inicio (%)</t>
  </si>
  <si>
    <t>Ritmo de producción al final (%)</t>
  </si>
  <si>
    <t>Producción promedio (%)</t>
  </si>
  <si>
    <t>Producción mensual promedio [U]</t>
  </si>
  <si>
    <t>Producción Propuesta</t>
  </si>
  <si>
    <t>Total =</t>
  </si>
  <si>
    <t>C) Volumen de producción durante el resto del año 1</t>
  </si>
  <si>
    <t>Lo que queda por producir despues del mes 7:</t>
  </si>
  <si>
    <t>Producción mensual para los meses restantes:</t>
  </si>
  <si>
    <t>Volumen total de producción año 1:</t>
  </si>
  <si>
    <t>e) Volumen de producción anual para el resto de los años:</t>
  </si>
  <si>
    <t>Ejercicio 7: Stock promedio de producto elaborados</t>
  </si>
  <si>
    <t>Entregas por semana</t>
  </si>
  <si>
    <t>Stock de seguridad</t>
  </si>
  <si>
    <t>A) Volumen de producción semanal en estado de régimen</t>
  </si>
  <si>
    <t>Semanas/año</t>
  </si>
  <si>
    <t>Semanas paradas</t>
  </si>
  <si>
    <t>Semanas productivas</t>
  </si>
  <si>
    <t>Produccion semanal</t>
  </si>
  <si>
    <t>Producción semanal promedio [U/semana]</t>
  </si>
  <si>
    <t>Prod diaria promedio [U/semana]</t>
  </si>
  <si>
    <t>B) Stock promedio de elaborado:</t>
  </si>
  <si>
    <t>unidades</t>
  </si>
  <si>
    <t>Min Stock</t>
  </si>
  <si>
    <t>Max Stock</t>
  </si>
  <si>
    <t>Stock promedio x semana</t>
  </si>
  <si>
    <t>Se consideran 7 meses de puesta en marcha</t>
  </si>
  <si>
    <t>Ventas</t>
  </si>
  <si>
    <t>Maxima produccion alcanzable</t>
  </si>
  <si>
    <t>Stock promedio de producto elaborado</t>
  </si>
  <si>
    <t>Maxima cantidad vendible</t>
  </si>
  <si>
    <t xml:space="preserve">El plan de ventas para el año 1 es de </t>
  </si>
  <si>
    <t xml:space="preserve">El plan de ventas para desde el año 2 al 7 es de </t>
  </si>
  <si>
    <t xml:space="preserve">u por lo que al ser esta una restriccion de mercado por lo que sobraran 369  unidades. </t>
  </si>
  <si>
    <t>Este margen es bajo pero puede servir de contingencia ante imprevistos con respecto al cumplimiento del plan</t>
  </si>
  <si>
    <t>Desperdicio en puesta en marcha es</t>
  </si>
  <si>
    <t xml:space="preserve"> veces mayor al de regimen</t>
  </si>
  <si>
    <t xml:space="preserve">El ciclo de operación es de </t>
  </si>
  <si>
    <t>dias laborales</t>
  </si>
  <si>
    <t>En el año hay</t>
  </si>
  <si>
    <t>ciclos operativos</t>
  </si>
  <si>
    <t>Puesta en marcha</t>
  </si>
  <si>
    <t>Resto</t>
  </si>
  <si>
    <t>[u PT]</t>
  </si>
  <si>
    <t>Desperdicio [%]</t>
  </si>
  <si>
    <t>Total</t>
  </si>
  <si>
    <t>Medido en</t>
  </si>
  <si>
    <t>DESP.REC. [unidad PT]</t>
  </si>
  <si>
    <t>DESP.NO REC. [unidad PT]</t>
  </si>
  <si>
    <t>Productos elaborados</t>
  </si>
  <si>
    <t>Mercaderia en curso y Semielaborado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</si>
  <si>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</si>
  <si>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</si>
  <si>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</si>
  <si>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</si>
  <si>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</si>
  <si>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</si>
  <si>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</si>
  <si>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</si>
  <si>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</si>
  <si>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</si>
  <si>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</si>
  <si>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</si>
  <si>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</si>
  <si>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Stock Fin Mes</t>
  </si>
  <si>
    <t>Compras</t>
  </si>
  <si>
    <t>Compras por año</t>
  </si>
  <si>
    <t>Cantidad Total</t>
  </si>
  <si>
    <t>Stock Minimo (Consumo mensual)</t>
  </si>
  <si>
    <t>Plan de compra por Material</t>
  </si>
  <si>
    <t>Cantidad de Items por mes</t>
  </si>
  <si>
    <t>Evolucion de Mercaderia</t>
  </si>
  <si>
    <t>Stock Promedio</t>
  </si>
  <si>
    <t>u PT</t>
  </si>
  <si>
    <t>Produccion</t>
  </si>
  <si>
    <t>Desperdicios no recuperables</t>
  </si>
  <si>
    <t>Stock promedio de elaborado</t>
  </si>
  <si>
    <t>En curso y semielaborado</t>
  </si>
  <si>
    <t>Consumo de materia prima</t>
  </si>
  <si>
    <t>Compra de materia prima</t>
  </si>
  <si>
    <t>Periodo de inst.</t>
  </si>
  <si>
    <t>año 1</t>
  </si>
  <si>
    <t>U de medida</t>
  </si>
  <si>
    <t>u PT equivalente</t>
  </si>
  <si>
    <t>Maximo</t>
  </si>
  <si>
    <t>*Para cada concepto se tomo el maximo valor entre las MP expuestas en los ejercicios anteriores</t>
  </si>
  <si>
    <t>Stock de materia prima</t>
  </si>
  <si>
    <t>Tareas a realizar</t>
  </si>
  <si>
    <t>Preinversión</t>
  </si>
  <si>
    <t>Período de Inversion</t>
  </si>
  <si>
    <t>Periodo de Explotación</t>
  </si>
  <si>
    <t>meses</t>
  </si>
  <si>
    <t>2 meses</t>
  </si>
  <si>
    <t xml:space="preserve">Estudio de prefactibilidad y factibilidad </t>
  </si>
  <si>
    <t>3 meses</t>
  </si>
  <si>
    <t>Evaluación externa y aprobación del proyecto</t>
  </si>
  <si>
    <t>1 día</t>
  </si>
  <si>
    <t>DECISIÓN DE EJECUTAR EL PROYECTO DE INVERSIÓN</t>
  </si>
  <si>
    <t>1 mes</t>
  </si>
  <si>
    <t>Adquisición del terreno</t>
  </si>
  <si>
    <t>10 dias</t>
  </si>
  <si>
    <t>Elaboración de presupuestos para C.G.</t>
  </si>
  <si>
    <t>Proyecto definitivo de edificio</t>
  </si>
  <si>
    <t>6 meses</t>
  </si>
  <si>
    <t>Construcción del edificio y prolongacion de servicios básicos</t>
  </si>
  <si>
    <t>Construcción de instalaciones industriales</t>
  </si>
  <si>
    <t>4 meses</t>
  </si>
  <si>
    <t>Compra, entrega y montaje de maquinaria en fábrica</t>
  </si>
  <si>
    <t xml:space="preserve">40 dias </t>
  </si>
  <si>
    <t>Pedido de personal a consultora</t>
  </si>
  <si>
    <t>Compra inicial de MP y materiales</t>
  </si>
  <si>
    <t>1 semana</t>
  </si>
  <si>
    <t>Capacitación de personal</t>
  </si>
  <si>
    <t>INICIACION DEL PLAN DE EXPLOTACIÓN</t>
  </si>
  <si>
    <t>7 meses</t>
  </si>
  <si>
    <t>Período de Puesta en Marcha</t>
  </si>
  <si>
    <t>Periodo de Preinversion: 5 Meses</t>
  </si>
  <si>
    <t>Periodo de Inversion: 9 meses</t>
  </si>
  <si>
    <t>Dias</t>
  </si>
  <si>
    <t>-</t>
  </si>
  <si>
    <t>Regimen de explotacion</t>
  </si>
  <si>
    <t>Año 2 a 5</t>
  </si>
  <si>
    <t>año 2 a 5</t>
  </si>
  <si>
    <t>2 a 5</t>
  </si>
  <si>
    <t>Periodo de Explotación: 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</si>
</sst>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 * #,##0_ ;_ * \-#,##0_ ;_ * &quot;-&quot;??_ ;_ @_ "/>
    <numFmt numFmtId="166" formatCode="0.000"/>
    <numFmt numFmtId="167" formatCode="_-* #,##0_-;\-* #,##0_-;_-* &quot;-&quot;??_-;_-@_-"/>
    <numFmt numFmtId="168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7.5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theme="0" tint="-0.499984740745262"/>
        <bgColor rgb="FF7F7F7F"/>
      </patternFill>
    </fill>
    <fill>
      <patternFill patternType="solid">
        <fgColor theme="0" tint="-0.499984740745262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5" xfId="0" applyFont="1" applyBorder="1"/>
    <xf numFmtId="1" fontId="0" fillId="0" borderId="9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3" xfId="0" applyFont="1" applyFill="1" applyBorder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3" fontId="0" fillId="0" borderId="18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3" fontId="7" fillId="0" borderId="27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  <xf numFmtId="9" fontId="0" fillId="0" borderId="20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9" fontId="0" fillId="0" borderId="15" xfId="2" applyFont="1" applyBorder="1" applyAlignment="1">
      <alignment horizontal="center"/>
    </xf>
    <xf numFmtId="9" fontId="0" fillId="0" borderId="17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5" fillId="0" borderId="1" xfId="0" applyFont="1" applyBorder="1" applyAlignment="1"/>
    <xf numFmtId="0" fontId="4" fillId="2" borderId="30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9" fontId="0" fillId="8" borderId="31" xfId="2" applyFont="1" applyFill="1" applyBorder="1" applyAlignment="1">
      <alignment horizontal="center"/>
    </xf>
    <xf numFmtId="9" fontId="0" fillId="8" borderId="32" xfId="2" applyFont="1" applyFill="1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/>
    </xf>
    <xf numFmtId="3" fontId="3" fillId="9" borderId="3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3" fontId="0" fillId="0" borderId="0" xfId="0" applyNumberFormat="1"/>
    <xf numFmtId="0" fontId="9" fillId="6" borderId="34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0" fillId="3" borderId="38" xfId="0" applyFill="1" applyBorder="1"/>
    <xf numFmtId="0" fontId="9" fillId="2" borderId="40" xfId="0" applyFont="1" applyFill="1" applyBorder="1" applyAlignment="1">
      <alignment horizontal="center"/>
    </xf>
    <xf numFmtId="0" fontId="0" fillId="3" borderId="28" xfId="0" applyFill="1" applyBorder="1"/>
    <xf numFmtId="0" fontId="0" fillId="3" borderId="42" xfId="0" applyFill="1" applyBorder="1"/>
    <xf numFmtId="3" fontId="3" fillId="6" borderId="43" xfId="0" applyNumberFormat="1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164" fontId="0" fillId="0" borderId="20" xfId="2" applyNumberFormat="1" applyFont="1" applyBorder="1" applyAlignment="1">
      <alignment horizontal="center" vertical="center"/>
    </xf>
    <xf numFmtId="1" fontId="8" fillId="0" borderId="22" xfId="0" applyNumberFormat="1" applyFont="1" applyFill="1" applyBorder="1"/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1" fillId="0" borderId="23" xfId="0" applyFont="1" applyFill="1" applyBorder="1" applyAlignment="1">
      <alignment horizontal="right"/>
    </xf>
    <xf numFmtId="0" fontId="0" fillId="0" borderId="23" xfId="0" applyBorder="1"/>
    <xf numFmtId="0" fontId="0" fillId="0" borderId="36" xfId="0" applyBorder="1"/>
    <xf numFmtId="0" fontId="11" fillId="0" borderId="38" xfId="0" applyFont="1" applyFill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11" fillId="0" borderId="28" xfId="0" applyFont="1" applyFill="1" applyBorder="1" applyAlignment="1">
      <alignment horizontal="right"/>
    </xf>
    <xf numFmtId="0" fontId="0" fillId="0" borderId="28" xfId="0" applyBorder="1"/>
    <xf numFmtId="0" fontId="11" fillId="0" borderId="28" xfId="0" applyFont="1" applyFill="1" applyBorder="1"/>
    <xf numFmtId="0" fontId="0" fillId="0" borderId="41" xfId="0" applyBorder="1"/>
    <xf numFmtId="0" fontId="3" fillId="2" borderId="43" xfId="0" applyFont="1" applyFill="1" applyBorder="1"/>
    <xf numFmtId="0" fontId="11" fillId="0" borderId="35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42" xfId="0" applyFont="1" applyFill="1" applyBorder="1"/>
    <xf numFmtId="0" fontId="0" fillId="0" borderId="0" xfId="0" quotePrefix="1" applyAlignment="1">
      <alignment horizontal="center"/>
    </xf>
    <xf numFmtId="0" fontId="0" fillId="0" borderId="46" xfId="0" applyBorder="1"/>
    <xf numFmtId="0" fontId="0" fillId="0" borderId="0" xfId="0" applyFill="1" applyBorder="1"/>
    <xf numFmtId="0" fontId="0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6" fillId="0" borderId="0" xfId="0" applyFont="1" applyAlignment="1"/>
    <xf numFmtId="0" fontId="6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/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/>
    <xf numFmtId="1" fontId="0" fillId="0" borderId="9" xfId="0" applyNumberFormat="1" applyFont="1" applyBorder="1"/>
    <xf numFmtId="2" fontId="0" fillId="0" borderId="9" xfId="0" applyNumberFormat="1" applyFont="1" applyBorder="1"/>
    <xf numFmtId="0" fontId="0" fillId="0" borderId="9" xfId="0" applyFont="1" applyBorder="1"/>
    <xf numFmtId="0" fontId="12" fillId="0" borderId="0" xfId="0" applyFont="1"/>
    <xf numFmtId="165" fontId="0" fillId="0" borderId="9" xfId="0" applyNumberFormat="1" applyFont="1" applyBorder="1"/>
    <xf numFmtId="3" fontId="0" fillId="0" borderId="9" xfId="0" applyNumberFormat="1" applyFont="1" applyBorder="1"/>
    <xf numFmtId="166" fontId="0" fillId="0" borderId="9" xfId="0" applyNumberFormat="1" applyFont="1" applyBorder="1"/>
    <xf numFmtId="167" fontId="0" fillId="0" borderId="9" xfId="1" applyNumberFormat="1" applyFont="1" applyBorder="1"/>
    <xf numFmtId="9" fontId="0" fillId="0" borderId="9" xfId="0" applyNumberFormat="1" applyFont="1" applyBorder="1"/>
    <xf numFmtId="1" fontId="0" fillId="0" borderId="9" xfId="0" applyNumberFormat="1" applyFont="1" applyBorder="1" applyAlignment="1">
      <alignment horizontal="center"/>
    </xf>
    <xf numFmtId="168" fontId="0" fillId="0" borderId="9" xfId="0" applyNumberFormat="1" applyFont="1" applyBorder="1"/>
    <xf numFmtId="0" fontId="9" fillId="0" borderId="0" xfId="0" applyFont="1"/>
    <xf numFmtId="167" fontId="0" fillId="0" borderId="9" xfId="1" applyNumberFormat="1" applyFont="1" applyBorder="1" applyAlignment="1">
      <alignment horizontal="center" vertical="center"/>
    </xf>
    <xf numFmtId="167" fontId="0" fillId="0" borderId="0" xfId="0" applyNumberFormat="1" applyFont="1"/>
    <xf numFmtId="2" fontId="0" fillId="0" borderId="9" xfId="0" applyNumberFormat="1" applyFont="1" applyBorder="1" applyAlignment="1">
      <alignment horizontal="center" vertical="center" wrapText="1"/>
    </xf>
    <xf numFmtId="3" fontId="0" fillId="0" borderId="0" xfId="0" applyNumberFormat="1" applyFont="1"/>
    <xf numFmtId="0" fontId="0" fillId="0" borderId="0" xfId="0" applyFont="1" applyFill="1" applyBorder="1"/>
    <xf numFmtId="0" fontId="0" fillId="0" borderId="0" xfId="0" applyFont="1" applyFill="1"/>
    <xf numFmtId="0" fontId="14" fillId="0" borderId="0" xfId="0" applyFont="1"/>
    <xf numFmtId="0" fontId="15" fillId="0" borderId="0" xfId="0" applyFont="1"/>
    <xf numFmtId="1" fontId="0" fillId="0" borderId="51" xfId="0" applyNumberFormat="1" applyFont="1" applyBorder="1"/>
    <xf numFmtId="0" fontId="0" fillId="0" borderId="7" xfId="0" applyFont="1" applyBorder="1"/>
    <xf numFmtId="0" fontId="0" fillId="0" borderId="49" xfId="0" applyFont="1" applyBorder="1"/>
    <xf numFmtId="0" fontId="5" fillId="0" borderId="0" xfId="0" applyFont="1" applyBorder="1" applyAlignment="1"/>
    <xf numFmtId="1" fontId="0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1" fontId="0" fillId="0" borderId="0" xfId="0" applyNumberFormat="1"/>
    <xf numFmtId="1" fontId="0" fillId="0" borderId="46" xfId="0" applyNumberFormat="1" applyBorder="1"/>
    <xf numFmtId="0" fontId="0" fillId="0" borderId="0" xfId="0"/>
    <xf numFmtId="0" fontId="3" fillId="10" borderId="23" xfId="0" applyFont="1" applyFill="1" applyBorder="1"/>
    <xf numFmtId="1" fontId="0" fillId="0" borderId="52" xfId="0" applyNumberFormat="1" applyBorder="1"/>
    <xf numFmtId="1" fontId="0" fillId="0" borderId="53" xfId="0" applyNumberFormat="1" applyBorder="1"/>
    <xf numFmtId="164" fontId="0" fillId="0" borderId="54" xfId="2" applyNumberFormat="1" applyFont="1" applyBorder="1"/>
    <xf numFmtId="1" fontId="0" fillId="0" borderId="24" xfId="0" applyNumberFormat="1" applyBorder="1"/>
    <xf numFmtId="1" fontId="0" fillId="0" borderId="0" xfId="0" applyNumberFormat="1" applyBorder="1"/>
    <xf numFmtId="164" fontId="0" fillId="0" borderId="55" xfId="2" applyNumberFormat="1" applyFont="1" applyBorder="1"/>
    <xf numFmtId="1" fontId="0" fillId="0" borderId="25" xfId="0" applyNumberFormat="1" applyBorder="1"/>
    <xf numFmtId="164" fontId="0" fillId="0" borderId="56" xfId="2" applyNumberFormat="1" applyFont="1" applyBorder="1"/>
    <xf numFmtId="0" fontId="3" fillId="0" borderId="23" xfId="0" applyFont="1" applyBorder="1"/>
    <xf numFmtId="0" fontId="0" fillId="0" borderId="63" xfId="0" applyBorder="1" applyAlignment="1">
      <alignment horizontal="center" vertical="center"/>
    </xf>
    <xf numFmtId="1" fontId="0" fillId="0" borderId="65" xfId="0" applyNumberFormat="1" applyBorder="1"/>
    <xf numFmtId="1" fontId="0" fillId="0" borderId="69" xfId="0" applyNumberFormat="1" applyBorder="1"/>
    <xf numFmtId="1" fontId="0" fillId="0" borderId="55" xfId="0" applyNumberFormat="1" applyBorder="1"/>
    <xf numFmtId="1" fontId="0" fillId="0" borderId="70" xfId="0" applyNumberFormat="1" applyBorder="1"/>
    <xf numFmtId="0" fontId="16" fillId="10" borderId="67" xfId="0" applyFont="1" applyFill="1" applyBorder="1" applyAlignment="1">
      <alignment horizontal="center" wrapText="1"/>
    </xf>
    <xf numFmtId="0" fontId="16" fillId="10" borderId="68" xfId="0" applyFont="1" applyFill="1" applyBorder="1" applyAlignment="1">
      <alignment horizontal="center" wrapText="1"/>
    </xf>
    <xf numFmtId="0" fontId="16" fillId="10" borderId="63" xfId="0" applyFont="1" applyFill="1" applyBorder="1" applyAlignment="1">
      <alignment horizontal="center" wrapText="1"/>
    </xf>
    <xf numFmtId="0" fontId="2" fillId="3" borderId="62" xfId="0" applyFont="1" applyFill="1" applyBorder="1"/>
    <xf numFmtId="1" fontId="0" fillId="0" borderId="64" xfId="0" applyNumberFormat="1" applyBorder="1"/>
    <xf numFmtId="1" fontId="0" fillId="0" borderId="66" xfId="0" applyNumberFormat="1" applyBorder="1"/>
    <xf numFmtId="1" fontId="0" fillId="0" borderId="74" xfId="0" applyNumberFormat="1" applyBorder="1"/>
    <xf numFmtId="0" fontId="9" fillId="2" borderId="75" xfId="0" applyFont="1" applyFill="1" applyBorder="1" applyAlignment="1">
      <alignment horizontal="center"/>
    </xf>
    <xf numFmtId="0" fontId="0" fillId="3" borderId="27" xfId="0" applyFill="1" applyBorder="1"/>
    <xf numFmtId="3" fontId="3" fillId="2" borderId="76" xfId="0" applyNumberFormat="1" applyFont="1" applyFill="1" applyBorder="1" applyAlignment="1">
      <alignment horizontal="center"/>
    </xf>
    <xf numFmtId="0" fontId="2" fillId="3" borderId="77" xfId="0" applyFont="1" applyFill="1" applyBorder="1"/>
    <xf numFmtId="0" fontId="3" fillId="4" borderId="73" xfId="0" applyFont="1" applyFill="1" applyBorder="1" applyAlignment="1">
      <alignment horizontal="center"/>
    </xf>
    <xf numFmtId="0" fontId="0" fillId="4" borderId="79" xfId="0" applyFont="1" applyFill="1" applyBorder="1" applyAlignment="1">
      <alignment horizontal="center" vertical="center" wrapText="1"/>
    </xf>
    <xf numFmtId="0" fontId="0" fillId="4" borderId="80" xfId="0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3" borderId="0" xfId="0" applyFont="1" applyFill="1" applyAlignment="1">
      <alignment horizontal="center"/>
    </xf>
    <xf numFmtId="0" fontId="16" fillId="10" borderId="81" xfId="0" applyFont="1" applyFill="1" applyBorder="1" applyAlignment="1">
      <alignment horizontal="center" wrapText="1"/>
    </xf>
    <xf numFmtId="0" fontId="16" fillId="10" borderId="82" xfId="0" applyFont="1" applyFill="1" applyBorder="1" applyAlignment="1">
      <alignment horizontal="center" wrapText="1"/>
    </xf>
    <xf numFmtId="1" fontId="0" fillId="0" borderId="23" xfId="0" applyNumberFormat="1" applyBorder="1"/>
    <xf numFmtId="1" fontId="16" fillId="0" borderId="59" xfId="0" applyNumberFormat="1" applyFont="1" applyFill="1" applyBorder="1" applyAlignment="1">
      <alignment horizontal="center" wrapText="1"/>
    </xf>
    <xf numFmtId="0" fontId="0" fillId="0" borderId="60" xfId="0" applyBorder="1"/>
    <xf numFmtId="1" fontId="0" fillId="0" borderId="60" xfId="0" applyNumberFormat="1" applyBorder="1"/>
    <xf numFmtId="1" fontId="16" fillId="0" borderId="35" xfId="0" applyNumberFormat="1" applyFont="1" applyFill="1" applyBorder="1" applyAlignment="1">
      <alignment horizontal="center" wrapText="1"/>
    </xf>
    <xf numFmtId="1" fontId="16" fillId="0" borderId="37" xfId="0" applyNumberFormat="1" applyFont="1" applyFill="1" applyBorder="1" applyAlignment="1">
      <alignment horizontal="center" wrapText="1"/>
    </xf>
    <xf numFmtId="1" fontId="0" fillId="0" borderId="38" xfId="0" applyNumberFormat="1" applyBorder="1"/>
    <xf numFmtId="0" fontId="0" fillId="0" borderId="71" xfId="0" applyBorder="1"/>
    <xf numFmtId="0" fontId="0" fillId="0" borderId="26" xfId="0" applyBorder="1"/>
    <xf numFmtId="0" fontId="0" fillId="0" borderId="72" xfId="0" applyBorder="1"/>
    <xf numFmtId="0" fontId="3" fillId="4" borderId="84" xfId="0" applyFont="1" applyFill="1" applyBorder="1"/>
    <xf numFmtId="0" fontId="3" fillId="12" borderId="85" xfId="0" applyFont="1" applyFill="1" applyBorder="1"/>
    <xf numFmtId="0" fontId="0" fillId="0" borderId="0" xfId="0"/>
    <xf numFmtId="1" fontId="0" fillId="13" borderId="23" xfId="0" applyNumberFormat="1" applyFill="1" applyBorder="1" applyAlignment="1">
      <alignment horizontal="center"/>
    </xf>
    <xf numFmtId="1" fontId="0" fillId="13" borderId="28" xfId="0" applyNumberForma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3" fillId="2" borderId="40" xfId="0" applyFont="1" applyFill="1" applyBorder="1"/>
    <xf numFmtId="1" fontId="0" fillId="13" borderId="41" xfId="0" applyNumberFormat="1" applyFill="1" applyBorder="1" applyAlignment="1">
      <alignment horizontal="center"/>
    </xf>
    <xf numFmtId="0" fontId="3" fillId="2" borderId="35" xfId="0" applyFont="1" applyFill="1" applyBorder="1"/>
    <xf numFmtId="1" fontId="0" fillId="13" borderId="36" xfId="0" applyNumberFormat="1" applyFill="1" applyBorder="1" applyAlignment="1">
      <alignment horizontal="center"/>
    </xf>
    <xf numFmtId="0" fontId="3" fillId="2" borderId="37" xfId="0" applyFont="1" applyFill="1" applyBorder="1"/>
    <xf numFmtId="1" fontId="0" fillId="13" borderId="38" xfId="0" applyNumberFormat="1" applyFill="1" applyBorder="1" applyAlignment="1">
      <alignment horizontal="center"/>
    </xf>
    <xf numFmtId="1" fontId="0" fillId="13" borderId="39" xfId="0" applyNumberForma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3" fontId="0" fillId="0" borderId="59" xfId="0" applyNumberFormat="1" applyBorder="1"/>
    <xf numFmtId="3" fontId="0" fillId="0" borderId="61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9" xfId="0" applyNumberFormat="1" applyBorder="1"/>
    <xf numFmtId="0" fontId="0" fillId="0" borderId="35" xfId="0" applyBorder="1"/>
    <xf numFmtId="3" fontId="0" fillId="0" borderId="36" xfId="0" applyNumberFormat="1" applyFill="1" applyBorder="1"/>
    <xf numFmtId="0" fontId="0" fillId="0" borderId="37" xfId="0" applyBorder="1"/>
    <xf numFmtId="3" fontId="0" fillId="0" borderId="39" xfId="0" applyNumberFormat="1" applyFill="1" applyBorder="1"/>
    <xf numFmtId="0" fontId="2" fillId="3" borderId="34" xfId="0" applyFont="1" applyFill="1" applyBorder="1"/>
    <xf numFmtId="0" fontId="0" fillId="0" borderId="43" xfId="0" applyFill="1" applyBorder="1"/>
    <xf numFmtId="0" fontId="0" fillId="0" borderId="40" xfId="0" applyBorder="1"/>
    <xf numFmtId="3" fontId="0" fillId="0" borderId="41" xfId="0" applyNumberFormat="1" applyFill="1" applyBorder="1"/>
    <xf numFmtId="0" fontId="3" fillId="2" borderId="79" xfId="0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 wrapText="1"/>
    </xf>
    <xf numFmtId="3" fontId="0" fillId="0" borderId="23" xfId="0" applyNumberFormat="1" applyBorder="1"/>
    <xf numFmtId="3" fontId="0" fillId="0" borderId="28" xfId="0" applyNumberFormat="1" applyBorder="1"/>
    <xf numFmtId="3" fontId="0" fillId="0" borderId="41" xfId="0" applyNumberFormat="1" applyBorder="1"/>
    <xf numFmtId="3" fontId="0" fillId="0" borderId="56" xfId="0" applyNumberFormat="1" applyBorder="1"/>
    <xf numFmtId="3" fontId="0" fillId="0" borderId="44" xfId="0" applyNumberFormat="1" applyBorder="1"/>
    <xf numFmtId="3" fontId="0" fillId="0" borderId="88" xfId="0" applyNumberFormat="1" applyBorder="1"/>
    <xf numFmtId="3" fontId="0" fillId="0" borderId="38" xfId="0" applyNumberFormat="1" applyBorder="1"/>
    <xf numFmtId="0" fontId="3" fillId="4" borderId="87" xfId="0" applyFont="1" applyFill="1" applyBorder="1" applyAlignment="1">
      <alignment horizontal="center"/>
    </xf>
    <xf numFmtId="0" fontId="2" fillId="3" borderId="10" xfId="0" applyFont="1" applyFill="1" applyBorder="1"/>
    <xf numFmtId="0" fontId="3" fillId="2" borderId="62" xfId="0" applyFont="1" applyFill="1" applyBorder="1"/>
    <xf numFmtId="0" fontId="3" fillId="2" borderId="68" xfId="0" applyFont="1" applyFill="1" applyBorder="1"/>
    <xf numFmtId="0" fontId="3" fillId="2" borderId="63" xfId="0" applyFont="1" applyFill="1" applyBorder="1"/>
    <xf numFmtId="0" fontId="0" fillId="13" borderId="67" xfId="0" applyFill="1" applyBorder="1" applyAlignment="1">
      <alignment horizontal="center"/>
    </xf>
    <xf numFmtId="0" fontId="0" fillId="13" borderId="68" xfId="0" applyFill="1" applyBorder="1" applyAlignment="1">
      <alignment horizontal="center"/>
    </xf>
    <xf numFmtId="0" fontId="0" fillId="13" borderId="63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3" xfId="0" applyFont="1" applyBorder="1"/>
    <xf numFmtId="0" fontId="0" fillId="15" borderId="23" xfId="0" applyFont="1" applyFill="1" applyBorder="1"/>
    <xf numFmtId="0" fontId="0" fillId="0" borderId="0" xfId="0" applyFont="1" applyBorder="1" applyAlignment="1"/>
    <xf numFmtId="0" fontId="0" fillId="0" borderId="0" xfId="0" applyFont="1" applyBorder="1"/>
    <xf numFmtId="0" fontId="0" fillId="16" borderId="23" xfId="0" applyFont="1" applyFill="1" applyBorder="1"/>
    <xf numFmtId="0" fontId="0" fillId="17" borderId="23" xfId="0" applyFont="1" applyFill="1" applyBorder="1"/>
    <xf numFmtId="0" fontId="0" fillId="0" borderId="64" xfId="0" applyFont="1" applyBorder="1"/>
    <xf numFmtId="0" fontId="0" fillId="16" borderId="83" xfId="0" applyFont="1" applyFill="1" applyBorder="1"/>
    <xf numFmtId="0" fontId="3" fillId="0" borderId="0" xfId="0" applyFont="1" applyAlignment="1">
      <alignment horizontal="right"/>
    </xf>
    <xf numFmtId="0" fontId="0" fillId="15" borderId="28" xfId="0" applyFont="1" applyFill="1" applyBorder="1"/>
    <xf numFmtId="0" fontId="0" fillId="0" borderId="34" xfId="0" applyFont="1" applyBorder="1" applyAlignment="1"/>
    <xf numFmtId="0" fontId="5" fillId="0" borderId="42" xfId="0" applyFont="1" applyBorder="1" applyAlignment="1"/>
    <xf numFmtId="0" fontId="0" fillId="0" borderId="42" xfId="0" applyFont="1" applyBorder="1" applyAlignment="1"/>
    <xf numFmtId="0" fontId="5" fillId="0" borderId="43" xfId="0" applyFont="1" applyBorder="1" applyAlignment="1"/>
    <xf numFmtId="0" fontId="5" fillId="0" borderId="91" xfId="0" applyFont="1" applyBorder="1" applyAlignment="1"/>
    <xf numFmtId="0" fontId="0" fillId="0" borderId="87" xfId="0" applyFont="1" applyBorder="1" applyAlignment="1"/>
    <xf numFmtId="0" fontId="0" fillId="0" borderId="26" xfId="0" applyFont="1" applyBorder="1"/>
    <xf numFmtId="0" fontId="0" fillId="15" borderId="40" xfId="0" applyFont="1" applyFill="1" applyBorder="1"/>
    <xf numFmtId="0" fontId="0" fillId="0" borderId="0" xfId="0" applyBorder="1"/>
    <xf numFmtId="0" fontId="0" fillId="0" borderId="64" xfId="0" applyBorder="1"/>
    <xf numFmtId="0" fontId="0" fillId="0" borderId="92" xfId="0" applyFont="1" applyBorder="1"/>
    <xf numFmtId="0" fontId="0" fillId="0" borderId="0" xfId="0" applyFont="1" applyFill="1" applyBorder="1" applyAlignment="1"/>
    <xf numFmtId="0" fontId="0" fillId="0" borderId="64" xfId="0" applyFill="1" applyBorder="1"/>
    <xf numFmtId="0" fontId="0" fillId="16" borderId="93" xfId="0" applyFont="1" applyFill="1" applyBorder="1"/>
    <xf numFmtId="0" fontId="0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0" fillId="0" borderId="48" xfId="0" applyFont="1" applyBorder="1" applyAlignment="1">
      <alignment horizontal="center" wrapText="1"/>
    </xf>
    <xf numFmtId="0" fontId="5" fillId="0" borderId="49" xfId="0" applyFont="1" applyBorder="1"/>
    <xf numFmtId="0" fontId="5" fillId="0" borderId="50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45" xfId="0" applyFont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46" xfId="0" applyBorder="1"/>
    <xf numFmtId="0" fontId="0" fillId="0" borderId="0" xfId="0" applyAlignment="1">
      <alignment horizontal="center"/>
    </xf>
    <xf numFmtId="0" fontId="3" fillId="11" borderId="57" xfId="0" applyFont="1" applyFill="1" applyBorder="1" applyAlignment="1">
      <alignment horizontal="center" vertical="center"/>
    </xf>
    <xf numFmtId="0" fontId="3" fillId="11" borderId="77" xfId="0" applyFont="1" applyFill="1" applyBorder="1" applyAlignment="1">
      <alignment horizontal="center" vertical="center"/>
    </xf>
    <xf numFmtId="0" fontId="3" fillId="11" borderId="58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7" fillId="4" borderId="57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 wrapText="1"/>
    </xf>
    <xf numFmtId="0" fontId="3" fillId="11" borderId="78" xfId="0" applyFont="1" applyFill="1" applyBorder="1" applyAlignment="1">
      <alignment horizontal="center" vertical="center"/>
    </xf>
    <xf numFmtId="0" fontId="3" fillId="11" borderId="66" xfId="0" applyFont="1" applyFill="1" applyBorder="1" applyAlignment="1">
      <alignment horizontal="center" vertical="center"/>
    </xf>
    <xf numFmtId="0" fontId="3" fillId="11" borderId="73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2" fillId="14" borderId="59" xfId="0" applyFont="1" applyFill="1" applyBorder="1" applyAlignment="1">
      <alignment horizontal="center"/>
    </xf>
    <xf numFmtId="0" fontId="2" fillId="14" borderId="60" xfId="0" applyFont="1" applyFill="1" applyBorder="1" applyAlignment="1">
      <alignment horizontal="center"/>
    </xf>
    <xf numFmtId="0" fontId="2" fillId="14" borderId="61" xfId="0" applyFont="1" applyFill="1" applyBorder="1" applyAlignment="1">
      <alignment horizontal="center"/>
    </xf>
    <xf numFmtId="0" fontId="3" fillId="11" borderId="83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3" fontId="7" fillId="0" borderId="5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Evolucion Stock a Fin de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'Ejercicio 10'!$B$137</c:f>
              <c:strCache>
                <c:ptCount val="1"/>
                <c:pt idx="0">
                  <c:v>Stock Fin 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'Ejercicio 10'!$A$138:$A$149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10'!$B$138:$B$149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6-4EB8-A38D-0BD5D6C1D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854264"/>
        <c:axId val="354850000"/>
      </c:lineChart>
      <c:catAx>
        <c:axId val="35485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4850000"/>
        <c:crosses val="autoZero"/>
        <c:auto val="1"/>
        <c:lblAlgn val="ctr"/>
        <c:lblOffset val="100"/>
        <c:noMultiLvlLbl val="0"/>
      </c:catAx>
      <c:valAx>
        <c:axId val="35485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485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0</xdr:rowOff>
    </xdr:from>
    <xdr:to>
      <xdr:col>2</xdr:col>
      <xdr:colOff>361950</xdr:colOff>
      <xdr:row>4</xdr:row>
      <xdr:rowOff>190500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5643B81-BE54-4A76-89B1-459B04B1E067}"/>
            </a:ext>
          </a:extLst>
        </xdr:cNvPr>
        <xdr:cNvCxnSpPr/>
      </xdr:nvCxnSpPr>
      <xdr:spPr>
        <a:xfrm flipV="1">
          <a:off x="2647950" y="190500"/>
          <a:ext cx="0" cy="781050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6</xdr:row>
      <xdr:rowOff>0</xdr:rowOff>
    </xdr:from>
    <xdr:to>
      <xdr:col>2</xdr:col>
      <xdr:colOff>361950</xdr:colOff>
      <xdr:row>9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BCA745-A934-4D68-A482-02D1A54CF692}"/>
            </a:ext>
          </a:extLst>
        </xdr:cNvPr>
        <xdr:cNvCxnSpPr/>
      </xdr:nvCxnSpPr>
      <xdr:spPr>
        <a:xfrm flipV="1">
          <a:off x="1885950" y="1181100"/>
          <a:ext cx="0" cy="600075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0</xdr:row>
      <xdr:rowOff>180975</xdr:rowOff>
    </xdr:from>
    <xdr:to>
      <xdr:col>4</xdr:col>
      <xdr:colOff>381000</xdr:colOff>
      <xdr:row>2</xdr:row>
      <xdr:rowOff>190502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70F34C8-245C-4CD5-B461-20B95EC64167}"/>
            </a:ext>
          </a:extLst>
        </xdr:cNvPr>
        <xdr:cNvCxnSpPr/>
      </xdr:nvCxnSpPr>
      <xdr:spPr>
        <a:xfrm flipV="1">
          <a:off x="4248150" y="180975"/>
          <a:ext cx="0" cy="390527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4</xdr:row>
      <xdr:rowOff>2</xdr:rowOff>
    </xdr:from>
    <xdr:to>
      <xdr:col>4</xdr:col>
      <xdr:colOff>381000</xdr:colOff>
      <xdr:row>5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FCF38BD-B38F-4570-B7B4-A4F3C40D7A07}"/>
            </a:ext>
          </a:extLst>
        </xdr:cNvPr>
        <xdr:cNvCxnSpPr/>
      </xdr:nvCxnSpPr>
      <xdr:spPr>
        <a:xfrm flipV="1">
          <a:off x="3429000" y="781052"/>
          <a:ext cx="0" cy="200023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5</xdr:row>
      <xdr:rowOff>190502</xdr:rowOff>
    </xdr:from>
    <xdr:to>
      <xdr:col>4</xdr:col>
      <xdr:colOff>381000</xdr:colOff>
      <xdr:row>6</xdr:row>
      <xdr:rowOff>190500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A3188FA8-98CF-42B0-96A2-2B25EFA622FB}"/>
            </a:ext>
          </a:extLst>
        </xdr:cNvPr>
        <xdr:cNvCxnSpPr/>
      </xdr:nvCxnSpPr>
      <xdr:spPr>
        <a:xfrm flipV="1">
          <a:off x="3429000" y="1171577"/>
          <a:ext cx="0" cy="200023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</xdr:row>
      <xdr:rowOff>190502</xdr:rowOff>
    </xdr:from>
    <xdr:to>
      <xdr:col>4</xdr:col>
      <xdr:colOff>381000</xdr:colOff>
      <xdr:row>9</xdr:row>
      <xdr:rowOff>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BC6C8201-69BB-4FFD-AB76-97433807F3E0}"/>
            </a:ext>
          </a:extLst>
        </xdr:cNvPr>
        <xdr:cNvCxnSpPr/>
      </xdr:nvCxnSpPr>
      <xdr:spPr>
        <a:xfrm flipV="1">
          <a:off x="3429000" y="1571627"/>
          <a:ext cx="0" cy="200023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11</xdr:row>
      <xdr:rowOff>2</xdr:rowOff>
    </xdr:from>
    <xdr:to>
      <xdr:col>3</xdr:col>
      <xdr:colOff>361950</xdr:colOff>
      <xdr:row>12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17A79571-1E59-4BEE-9C9F-4D450D28E115}"/>
            </a:ext>
          </a:extLst>
        </xdr:cNvPr>
        <xdr:cNvCxnSpPr/>
      </xdr:nvCxnSpPr>
      <xdr:spPr>
        <a:xfrm flipV="1">
          <a:off x="2647950" y="2171702"/>
          <a:ext cx="0" cy="200023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13</xdr:row>
      <xdr:rowOff>2</xdr:rowOff>
    </xdr:from>
    <xdr:to>
      <xdr:col>3</xdr:col>
      <xdr:colOff>361950</xdr:colOff>
      <xdr:row>14</xdr:row>
      <xdr:rowOff>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578102C8-B89F-4BAD-BF28-7B84E3C9BFF0}"/>
            </a:ext>
          </a:extLst>
        </xdr:cNvPr>
        <xdr:cNvCxnSpPr/>
      </xdr:nvCxnSpPr>
      <xdr:spPr>
        <a:xfrm flipV="1">
          <a:off x="2647950" y="2571752"/>
          <a:ext cx="0" cy="200023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15</xdr:row>
      <xdr:rowOff>2</xdr:rowOff>
    </xdr:from>
    <xdr:to>
      <xdr:col>3</xdr:col>
      <xdr:colOff>361950</xdr:colOff>
      <xdr:row>16</xdr:row>
      <xdr:rowOff>9525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A24C8C2F-13CA-4250-99F8-08021CE8891D}"/>
            </a:ext>
          </a:extLst>
        </xdr:cNvPr>
        <xdr:cNvCxnSpPr/>
      </xdr:nvCxnSpPr>
      <xdr:spPr>
        <a:xfrm flipV="1">
          <a:off x="2647950" y="2971802"/>
          <a:ext cx="0" cy="200023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8</xdr:row>
      <xdr:rowOff>180977</xdr:rowOff>
    </xdr:from>
    <xdr:to>
      <xdr:col>3</xdr:col>
      <xdr:colOff>361950</xdr:colOff>
      <xdr:row>9</xdr:row>
      <xdr:rowOff>190500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EE7EDFEE-F4AB-4D75-8FFB-5DB3909D77DB}"/>
            </a:ext>
          </a:extLst>
        </xdr:cNvPr>
        <xdr:cNvCxnSpPr/>
      </xdr:nvCxnSpPr>
      <xdr:spPr>
        <a:xfrm flipV="1">
          <a:off x="2647950" y="1762127"/>
          <a:ext cx="0" cy="200023"/>
        </a:xfrm>
        <a:prstGeom prst="line">
          <a:avLst/>
        </a:prstGeom>
        <a:ln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9</xdr:row>
      <xdr:rowOff>0</xdr:rowOff>
    </xdr:from>
    <xdr:to>
      <xdr:col>4</xdr:col>
      <xdr:colOff>381000</xdr:colOff>
      <xdr:row>9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24C191B-54BB-49AF-9452-F195ED27D093}"/>
            </a:ext>
          </a:extLst>
        </xdr:cNvPr>
        <xdr:cNvCxnSpPr/>
      </xdr:nvCxnSpPr>
      <xdr:spPr>
        <a:xfrm>
          <a:off x="1876425" y="1771650"/>
          <a:ext cx="1552575" cy="0"/>
        </a:xfrm>
        <a:prstGeom prst="line">
          <a:avLst/>
        </a:prstGeom>
        <a:ln>
          <a:head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</xdr:row>
      <xdr:rowOff>95250</xdr:rowOff>
    </xdr:from>
    <xdr:to>
      <xdr:col>2</xdr:col>
      <xdr:colOff>361950</xdr:colOff>
      <xdr:row>1</xdr:row>
      <xdr:rowOff>95250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2DD266D3-E093-43E9-AAA2-E8404E4DB775}"/>
            </a:ext>
          </a:extLst>
        </xdr:cNvPr>
        <xdr:cNvCxnSpPr/>
      </xdr:nvCxnSpPr>
      <xdr:spPr>
        <a:xfrm>
          <a:off x="1533525" y="285750"/>
          <a:ext cx="35242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1</xdr:row>
      <xdr:rowOff>104775</xdr:rowOff>
    </xdr:from>
    <xdr:to>
      <xdr:col>4</xdr:col>
      <xdr:colOff>752475</xdr:colOff>
      <xdr:row>1</xdr:row>
      <xdr:rowOff>104775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ECD9C17A-3425-4710-B4BB-65F3ECA7CFE9}"/>
            </a:ext>
          </a:extLst>
        </xdr:cNvPr>
        <xdr:cNvCxnSpPr/>
      </xdr:nvCxnSpPr>
      <xdr:spPr>
        <a:xfrm>
          <a:off x="3448050" y="295275"/>
          <a:ext cx="352425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6</xdr:row>
      <xdr:rowOff>104775</xdr:rowOff>
    </xdr:from>
    <xdr:to>
      <xdr:col>5</xdr:col>
      <xdr:colOff>0</xdr:colOff>
      <xdr:row>6</xdr:row>
      <xdr:rowOff>104775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D066A449-1209-4047-940A-E83AAFC15001}"/>
            </a:ext>
          </a:extLst>
        </xdr:cNvPr>
        <xdr:cNvCxnSpPr/>
      </xdr:nvCxnSpPr>
      <xdr:spPr>
        <a:xfrm>
          <a:off x="3457575" y="1285875"/>
          <a:ext cx="352425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9</xdr:row>
      <xdr:rowOff>114300</xdr:rowOff>
    </xdr:from>
    <xdr:to>
      <xdr:col>5</xdr:col>
      <xdr:colOff>0</xdr:colOff>
      <xdr:row>9</xdr:row>
      <xdr:rowOff>114300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3476467A-530C-4B06-8A3A-ADD7EB4863B3}"/>
            </a:ext>
          </a:extLst>
        </xdr:cNvPr>
        <xdr:cNvCxnSpPr/>
      </xdr:nvCxnSpPr>
      <xdr:spPr>
        <a:xfrm>
          <a:off x="2695575" y="1885950"/>
          <a:ext cx="1114425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13</xdr:row>
      <xdr:rowOff>104775</xdr:rowOff>
    </xdr:from>
    <xdr:to>
      <xdr:col>4</xdr:col>
      <xdr:colOff>752475</xdr:colOff>
      <xdr:row>13</xdr:row>
      <xdr:rowOff>104775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F3779687-7B3C-415E-85F7-75EC986F5755}"/>
            </a:ext>
          </a:extLst>
        </xdr:cNvPr>
        <xdr:cNvCxnSpPr/>
      </xdr:nvCxnSpPr>
      <xdr:spPr>
        <a:xfrm>
          <a:off x="2686050" y="2676525"/>
          <a:ext cx="1114425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133</xdr:row>
      <xdr:rowOff>166687</xdr:rowOff>
    </xdr:from>
    <xdr:to>
      <xdr:col>8</xdr:col>
      <xdr:colOff>219075</xdr:colOff>
      <xdr:row>148</xdr:row>
      <xdr:rowOff>23812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7CEFA0F-68E7-4B39-A57C-A42377C85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09F28-031B-49B0-8F64-5EB12055A0EA}">
  <dimension ref="A1:XER102"/>
  <sheetViews>
    <sheetView topLeftCell="A33" workbookViewId="0">
      <pane xSplit="1" topLeftCell="B1" activePane="topRight" state="frozen"/>
      <selection activeCell="A21" sqref="A21"/>
      <selection pane="topRight" activeCell="B47" sqref="A47:B47"/>
    </sheetView>
  </sheetViews>
  <sheetFormatPr baseColWidth="10" defaultRowHeight="15" x14ac:dyDescent="0.25"/>
  <cols>
    <col min="1" max="1" width="24.42578125" customWidth="1"/>
    <col min="2" max="2" width="13.28515625" bestFit="1" customWidth="1"/>
    <col min="3" max="3" width="12.28515625" bestFit="1" customWidth="1"/>
    <col min="4" max="4" width="11.42578125" customWidth="1"/>
    <col min="5" max="5" width="17.140625" bestFit="1" customWidth="1"/>
    <col min="6" max="6" width="13" customWidth="1"/>
    <col min="7" max="7" width="12.140625" bestFit="1" customWidth="1"/>
    <col min="8" max="8" width="10.5703125" bestFit="1" customWidth="1"/>
    <col min="9" max="9" width="12.28515625" bestFit="1" customWidth="1"/>
    <col min="10" max="10" width="8.5703125" bestFit="1" customWidth="1"/>
    <col min="11" max="11" width="9.28515625" bestFit="1" customWidth="1"/>
    <col min="12" max="12" width="12.28515625" bestFit="1" customWidth="1"/>
    <col min="13" max="16" width="30.140625" customWidth="1"/>
    <col min="17" max="17" width="12.85546875" bestFit="1" customWidth="1"/>
    <col min="18" max="18" width="12.28515625" bestFit="1" customWidth="1"/>
    <col min="19" max="19" width="8.5703125" bestFit="1" customWidth="1"/>
    <col min="20" max="20" width="11" bestFit="1" customWidth="1"/>
    <col min="21" max="21" width="12.28515625" bestFit="1" customWidth="1"/>
    <col min="22" max="22" width="8.5703125" bestFit="1" customWidth="1"/>
    <col min="23" max="23" width="9.28515625" bestFit="1" customWidth="1"/>
    <col min="24" max="24" width="12.28515625" bestFit="1" customWidth="1"/>
    <col min="25" max="25" width="8.5703125" bestFit="1" customWidth="1"/>
    <col min="26" max="26" width="9.28515625" bestFit="1" customWidth="1"/>
    <col min="27" max="27" width="12.28515625" bestFit="1" customWidth="1"/>
    <col min="28" max="28" width="8.5703125" bestFit="1" customWidth="1"/>
    <col min="29" max="29" width="11.140625" bestFit="1" customWidth="1"/>
    <col min="30" max="30" width="12.28515625" bestFit="1" customWidth="1"/>
    <col min="31" max="31" width="9.140625" bestFit="1" customWidth="1"/>
    <col min="32" max="32" width="27.28515625" bestFit="1" customWidth="1"/>
    <col min="33" max="33" width="12.28515625" bestFit="1" customWidth="1"/>
    <col min="34" max="34" width="8.5703125" bestFit="1" customWidth="1"/>
    <col min="35" max="35" width="28.85546875" bestFit="1" customWidth="1"/>
    <col min="36" max="36" width="12.28515625" bestFit="1" customWidth="1"/>
    <col min="37" max="37" width="8.5703125" bestFit="1" customWidth="1"/>
    <col min="38" max="38" width="28.28515625" bestFit="1" customWidth="1"/>
    <col min="39" max="39" width="12.28515625" bestFit="1" customWidth="1"/>
    <col min="40" max="40" width="8.5703125" bestFit="1" customWidth="1"/>
    <col min="41" max="41" width="27.85546875" bestFit="1" customWidth="1"/>
    <col min="42" max="42" width="12.28515625" bestFit="1" customWidth="1"/>
    <col min="43" max="43" width="8.5703125" bestFit="1" customWidth="1"/>
    <col min="44" max="44" width="26.5703125" bestFit="1" customWidth="1"/>
    <col min="45" max="45" width="12.28515625" bestFit="1" customWidth="1"/>
    <col min="46" max="46" width="8.5703125" bestFit="1" customWidth="1"/>
    <col min="47" max="47" width="23" bestFit="1" customWidth="1"/>
    <col min="48" max="48" width="12.28515625" bestFit="1" customWidth="1"/>
    <col min="49" max="49" width="8.5703125" bestFit="1" customWidth="1"/>
    <col min="50" max="50" width="9.28515625" bestFit="1" customWidth="1"/>
    <col min="51" max="51" width="12.28515625" bestFit="1" customWidth="1"/>
    <col min="52" max="52" width="10" customWidth="1"/>
    <col min="53" max="53" width="18.42578125" bestFit="1" customWidth="1"/>
    <col min="54" max="54" width="12.28515625" bestFit="1" customWidth="1"/>
    <col min="55" max="55" width="8.5703125" bestFit="1" customWidth="1"/>
    <col min="56" max="56" width="15.7109375" bestFit="1" customWidth="1"/>
    <col min="57" max="57" width="12.28515625" bestFit="1" customWidth="1"/>
    <col min="58" max="58" width="8.5703125" bestFit="1" customWidth="1"/>
    <col min="59" max="59" width="15.28515625" bestFit="1" customWidth="1"/>
    <col min="60" max="60" width="12.28515625" bestFit="1" customWidth="1"/>
    <col min="61" max="61" width="8.5703125" bestFit="1" customWidth="1"/>
    <col min="62" max="62" width="14.42578125" bestFit="1" customWidth="1"/>
    <col min="63" max="63" width="12.28515625" bestFit="1" customWidth="1"/>
    <col min="64" max="64" width="8.5703125" bestFit="1" customWidth="1"/>
    <col min="65" max="65" width="22.7109375" bestFit="1" customWidth="1"/>
    <col min="66" max="66" width="12.28515625" bestFit="1" customWidth="1"/>
    <col min="67" max="67" width="8.5703125" bestFit="1" customWidth="1"/>
    <col min="68" max="68" width="18" bestFit="1" customWidth="1"/>
    <col min="69" max="69" width="12.28515625" bestFit="1" customWidth="1"/>
    <col min="70" max="70" width="8.5703125" bestFit="1" customWidth="1"/>
    <col min="71" max="71" width="16.5703125" bestFit="1" customWidth="1"/>
    <col min="72" max="72" width="12.28515625" bestFit="1" customWidth="1"/>
    <col min="73" max="73" width="8.5703125" bestFit="1" customWidth="1"/>
    <col min="74" max="74" width="28" bestFit="1" customWidth="1"/>
    <col min="75" max="75" width="12.28515625" bestFit="1" customWidth="1"/>
    <col min="76" max="76" width="8.5703125" bestFit="1" customWidth="1"/>
    <col min="77" max="77" width="21.5703125" bestFit="1" customWidth="1"/>
    <col min="78" max="78" width="12.28515625" bestFit="1" customWidth="1"/>
    <col min="79" max="79" width="8.5703125" bestFit="1" customWidth="1"/>
    <col min="80" max="80" width="11" bestFit="1" customWidth="1"/>
    <col min="81" max="81" width="12.28515625" bestFit="1" customWidth="1"/>
    <col min="82" max="82" width="8.5703125" bestFit="1" customWidth="1"/>
    <col min="83" max="83" width="9.28515625" bestFit="1" customWidth="1"/>
    <col min="84" max="84" width="12.28515625" bestFit="1" customWidth="1"/>
    <col min="85" max="85" width="8.5703125" bestFit="1" customWidth="1"/>
    <col min="86" max="86" width="46.7109375" bestFit="1" customWidth="1"/>
    <col min="87" max="87" width="12.28515625" bestFit="1" customWidth="1"/>
    <col min="88" max="88" width="8.5703125" bestFit="1" customWidth="1"/>
    <col min="89" max="89" width="24.5703125" bestFit="1" customWidth="1"/>
    <col min="90" max="90" width="12.28515625" bestFit="1" customWidth="1"/>
    <col min="91" max="91" width="8.5703125" bestFit="1" customWidth="1"/>
    <col min="92" max="92" width="24.42578125" bestFit="1" customWidth="1"/>
    <col min="93" max="93" width="12.28515625" bestFit="1" customWidth="1"/>
    <col min="94" max="94" width="8.5703125" bestFit="1" customWidth="1"/>
    <col min="95" max="95" width="13.140625" bestFit="1" customWidth="1"/>
    <col min="96" max="96" width="12.28515625" bestFit="1" customWidth="1"/>
    <col min="97" max="97" width="8.5703125" bestFit="1" customWidth="1"/>
    <col min="98" max="98" width="17.28515625" bestFit="1" customWidth="1"/>
    <col min="99" max="99" width="12.28515625" bestFit="1" customWidth="1"/>
    <col min="100" max="100" width="8.5703125" bestFit="1" customWidth="1"/>
    <col min="101" max="101" width="10.42578125" bestFit="1" customWidth="1"/>
    <col min="102" max="102" width="12.28515625" bestFit="1" customWidth="1"/>
    <col min="103" max="103" width="8.5703125" bestFit="1" customWidth="1"/>
    <col min="104" max="104" width="21.85546875" bestFit="1" customWidth="1"/>
    <col min="105" max="105" width="12.28515625" bestFit="1" customWidth="1"/>
    <col min="106" max="106" width="8.5703125" bestFit="1" customWidth="1"/>
    <col min="107" max="107" width="17.28515625" bestFit="1" customWidth="1"/>
    <col min="108" max="108" width="12.28515625" bestFit="1" customWidth="1"/>
    <col min="109" max="109" width="8.5703125" bestFit="1" customWidth="1"/>
    <col min="110" max="110" width="17.28515625" bestFit="1" customWidth="1"/>
    <col min="111" max="111" width="12.28515625" bestFit="1" customWidth="1"/>
    <col min="112" max="112" width="8.5703125" bestFit="1" customWidth="1"/>
    <col min="113" max="113" width="18.42578125" bestFit="1" customWidth="1"/>
    <col min="114" max="114" width="12.28515625" bestFit="1" customWidth="1"/>
    <col min="115" max="115" width="8.5703125" bestFit="1" customWidth="1"/>
    <col min="116" max="116" width="18.42578125" bestFit="1" customWidth="1"/>
    <col min="117" max="117" width="12.28515625" bestFit="1" customWidth="1"/>
    <col min="118" max="118" width="8.5703125" bestFit="1" customWidth="1"/>
    <col min="119" max="119" width="27.28515625" bestFit="1" customWidth="1"/>
    <col min="120" max="120" width="12.28515625" bestFit="1" customWidth="1"/>
    <col min="121" max="121" width="8.5703125" bestFit="1" customWidth="1"/>
  </cols>
  <sheetData>
    <row r="1" spans="2:6" x14ac:dyDescent="0.25">
      <c r="C1" t="s">
        <v>102</v>
      </c>
      <c r="E1" t="s">
        <v>101</v>
      </c>
    </row>
    <row r="2" spans="2:6" x14ac:dyDescent="0.25">
      <c r="B2" s="9" t="s">
        <v>21</v>
      </c>
      <c r="F2" t="s">
        <v>22</v>
      </c>
    </row>
    <row r="3" spans="2:6" ht="15.75" thickBot="1" x14ac:dyDescent="0.3"/>
    <row r="4" spans="2:6" ht="15.75" thickBot="1" x14ac:dyDescent="0.3">
      <c r="C4" s="6"/>
      <c r="D4" s="6"/>
      <c r="E4" s="7" t="s">
        <v>15</v>
      </c>
    </row>
    <row r="5" spans="2:6" ht="15.75" thickBot="1" x14ac:dyDescent="0.3">
      <c r="C5" s="6"/>
      <c r="D5" s="6"/>
      <c r="E5" s="6"/>
    </row>
    <row r="6" spans="2:6" ht="15.75" thickBot="1" x14ac:dyDescent="0.3">
      <c r="C6" s="7" t="s">
        <v>14</v>
      </c>
      <c r="D6" s="6"/>
      <c r="E6" s="7" t="s">
        <v>16</v>
      </c>
    </row>
    <row r="7" spans="2:6" ht="15.75" thickBot="1" x14ac:dyDescent="0.3">
      <c r="C7" s="6"/>
      <c r="D7" s="6"/>
      <c r="E7" s="6"/>
      <c r="F7" t="s">
        <v>23</v>
      </c>
    </row>
    <row r="8" spans="2:6" ht="15.75" thickBot="1" x14ac:dyDescent="0.3">
      <c r="C8" s="6"/>
      <c r="D8" s="6"/>
      <c r="E8" s="7" t="s">
        <v>17</v>
      </c>
    </row>
    <row r="9" spans="2:6" x14ac:dyDescent="0.25">
      <c r="C9" s="6"/>
      <c r="D9" s="6"/>
      <c r="E9" s="6"/>
    </row>
    <row r="10" spans="2:6" ht="15.75" thickBot="1" x14ac:dyDescent="0.3">
      <c r="C10" s="6"/>
      <c r="D10" s="6"/>
      <c r="E10" s="6"/>
      <c r="F10" t="s">
        <v>24</v>
      </c>
    </row>
    <row r="11" spans="2:6" ht="15.75" thickBot="1" x14ac:dyDescent="0.3">
      <c r="C11" s="6"/>
      <c r="D11" s="7" t="s">
        <v>18</v>
      </c>
      <c r="E11" s="6"/>
    </row>
    <row r="12" spans="2:6" ht="15.75" thickBot="1" x14ac:dyDescent="0.3">
      <c r="C12" s="6"/>
      <c r="D12" s="6"/>
      <c r="E12" s="6"/>
    </row>
    <row r="13" spans="2:6" ht="15.75" thickBot="1" x14ac:dyDescent="0.3">
      <c r="C13" s="6"/>
      <c r="D13" s="7" t="s">
        <v>19</v>
      </c>
      <c r="E13" s="6"/>
    </row>
    <row r="14" spans="2:6" ht="15.75" thickBot="1" x14ac:dyDescent="0.3">
      <c r="C14" s="6"/>
      <c r="D14" s="6"/>
      <c r="E14" s="6"/>
      <c r="F14" t="s">
        <v>25</v>
      </c>
    </row>
    <row r="15" spans="2:6" ht="15.75" thickBot="1" x14ac:dyDescent="0.3">
      <c r="C15" s="6"/>
      <c r="D15" s="7" t="s">
        <v>20</v>
      </c>
      <c r="E15" s="6"/>
    </row>
    <row r="16" spans="2:6" x14ac:dyDescent="0.25">
      <c r="C16" s="6"/>
      <c r="D16" s="8"/>
      <c r="E16" s="6"/>
    </row>
    <row r="17" spans="1:121 16372:16372" x14ac:dyDescent="0.25">
      <c r="C17" s="6"/>
      <c r="D17" s="8"/>
      <c r="E17" s="6"/>
    </row>
    <row r="19" spans="1:121 16372:16372" x14ac:dyDescent="0.25">
      <c r="AL19" t="s">
        <v>45</v>
      </c>
      <c r="AM19" t="s">
        <v>47</v>
      </c>
      <c r="AN19" t="s">
        <v>47</v>
      </c>
      <c r="AO19" t="s">
        <v>45</v>
      </c>
      <c r="CB19" t="s">
        <v>65</v>
      </c>
    </row>
    <row r="20" spans="1:121 16372:16372" ht="15.75" thickBot="1" x14ac:dyDescent="0.3"/>
    <row r="21" spans="1:121 16372:16372" ht="15.75" thickBot="1" x14ac:dyDescent="0.3">
      <c r="B21" s="13" t="s">
        <v>3</v>
      </c>
      <c r="C21" s="10" t="s">
        <v>29</v>
      </c>
      <c r="D21" s="11" t="s">
        <v>157</v>
      </c>
      <c r="E21" s="13" t="s">
        <v>30</v>
      </c>
      <c r="F21" s="10" t="s">
        <v>29</v>
      </c>
      <c r="G21" s="11" t="s">
        <v>31</v>
      </c>
      <c r="H21" s="13" t="s">
        <v>6</v>
      </c>
      <c r="I21" s="10" t="s">
        <v>29</v>
      </c>
      <c r="J21" s="11" t="s">
        <v>31</v>
      </c>
      <c r="K21" s="13" t="s">
        <v>32</v>
      </c>
      <c r="L21" s="10" t="s">
        <v>29</v>
      </c>
      <c r="M21" s="11" t="s">
        <v>31</v>
      </c>
      <c r="N21" s="13" t="s">
        <v>33</v>
      </c>
      <c r="O21" s="10" t="s">
        <v>29</v>
      </c>
      <c r="P21" s="11" t="s">
        <v>31</v>
      </c>
      <c r="Q21" s="13" t="s">
        <v>34</v>
      </c>
      <c r="R21" s="10" t="s">
        <v>29</v>
      </c>
      <c r="S21" s="11" t="s">
        <v>31</v>
      </c>
      <c r="T21" s="13" t="s">
        <v>35</v>
      </c>
      <c r="U21" s="10" t="s">
        <v>29</v>
      </c>
      <c r="V21" s="11" t="s">
        <v>31</v>
      </c>
      <c r="W21" s="13" t="s">
        <v>36</v>
      </c>
      <c r="X21" s="10" t="s">
        <v>29</v>
      </c>
      <c r="Y21" s="11" t="s">
        <v>37</v>
      </c>
      <c r="Z21" s="13" t="s">
        <v>0</v>
      </c>
      <c r="AA21" s="10" t="s">
        <v>29</v>
      </c>
      <c r="AB21" s="11" t="s">
        <v>39</v>
      </c>
      <c r="AC21" s="13" t="s">
        <v>2</v>
      </c>
      <c r="AD21" s="10" t="s">
        <v>29</v>
      </c>
      <c r="AE21" s="11" t="s">
        <v>40</v>
      </c>
      <c r="AF21" s="13" t="s">
        <v>41</v>
      </c>
      <c r="AG21" s="10" t="s">
        <v>29</v>
      </c>
      <c r="AH21" s="11" t="s">
        <v>31</v>
      </c>
      <c r="AI21" s="13" t="s">
        <v>42</v>
      </c>
      <c r="AJ21" s="10" t="s">
        <v>29</v>
      </c>
      <c r="AK21" s="11" t="s">
        <v>44</v>
      </c>
      <c r="AL21" s="13" t="s">
        <v>46</v>
      </c>
      <c r="AM21" s="10" t="s">
        <v>29</v>
      </c>
      <c r="AN21" s="11" t="s">
        <v>31</v>
      </c>
      <c r="AO21" s="13" t="s">
        <v>48</v>
      </c>
      <c r="AP21" s="10" t="s">
        <v>29</v>
      </c>
      <c r="AQ21" s="11" t="s">
        <v>50</v>
      </c>
      <c r="AR21" s="13" t="s">
        <v>49</v>
      </c>
      <c r="AS21" s="10" t="s">
        <v>29</v>
      </c>
      <c r="AT21" s="11" t="s">
        <v>31</v>
      </c>
      <c r="AU21" s="13" t="s">
        <v>51</v>
      </c>
      <c r="AV21" s="10" t="s">
        <v>29</v>
      </c>
      <c r="AW21" s="11" t="s">
        <v>31</v>
      </c>
      <c r="AX21" s="13" t="s">
        <v>52</v>
      </c>
      <c r="AY21" s="10" t="s">
        <v>29</v>
      </c>
      <c r="AZ21" s="11" t="s">
        <v>103</v>
      </c>
      <c r="BA21" s="13" t="s">
        <v>53</v>
      </c>
      <c r="BB21" s="10" t="s">
        <v>29</v>
      </c>
      <c r="BC21" s="11" t="s">
        <v>54</v>
      </c>
      <c r="BD21" s="13" t="s">
        <v>55</v>
      </c>
      <c r="BE21" s="10" t="s">
        <v>29</v>
      </c>
      <c r="BF21" s="11" t="s">
        <v>31</v>
      </c>
      <c r="BG21" s="13" t="s">
        <v>56</v>
      </c>
      <c r="BH21" s="10" t="s">
        <v>29</v>
      </c>
      <c r="BI21" s="11" t="s">
        <v>57</v>
      </c>
      <c r="BJ21" s="13" t="s">
        <v>58</v>
      </c>
      <c r="BK21" s="10" t="s">
        <v>29</v>
      </c>
      <c r="BL21" s="11" t="s">
        <v>104</v>
      </c>
      <c r="BM21" s="13" t="s">
        <v>59</v>
      </c>
      <c r="BN21" s="10" t="s">
        <v>29</v>
      </c>
      <c r="BO21" s="11" t="s">
        <v>31</v>
      </c>
      <c r="BP21" s="13" t="s">
        <v>61</v>
      </c>
      <c r="BQ21" s="10" t="s">
        <v>29</v>
      </c>
      <c r="BR21" s="11" t="s">
        <v>60</v>
      </c>
      <c r="BS21" s="13" t="s">
        <v>62</v>
      </c>
      <c r="BT21" s="10" t="s">
        <v>29</v>
      </c>
      <c r="BU21" s="11" t="s">
        <v>31</v>
      </c>
      <c r="BV21" s="13" t="s">
        <v>63</v>
      </c>
      <c r="BW21" s="10" t="s">
        <v>29</v>
      </c>
      <c r="BX21" s="11" t="s">
        <v>31</v>
      </c>
      <c r="BY21" s="13" t="s">
        <v>64</v>
      </c>
      <c r="BZ21" s="10" t="s">
        <v>29</v>
      </c>
      <c r="CA21" s="11" t="s">
        <v>31</v>
      </c>
      <c r="CB21" s="13" t="s">
        <v>66</v>
      </c>
      <c r="CC21" s="10" t="s">
        <v>29</v>
      </c>
      <c r="CD21" s="11" t="s">
        <v>50</v>
      </c>
      <c r="CE21" s="13" t="s">
        <v>67</v>
      </c>
      <c r="CF21" s="10" t="s">
        <v>29</v>
      </c>
      <c r="CG21" s="11" t="s">
        <v>31</v>
      </c>
      <c r="CH21" s="13" t="s">
        <v>68</v>
      </c>
      <c r="CI21" s="10" t="s">
        <v>29</v>
      </c>
      <c r="CJ21" s="11" t="s">
        <v>31</v>
      </c>
      <c r="CK21" s="13" t="s">
        <v>69</v>
      </c>
      <c r="CL21" s="10" t="s">
        <v>29</v>
      </c>
      <c r="CM21" s="11" t="s">
        <v>50</v>
      </c>
      <c r="CN21" s="13" t="s">
        <v>70</v>
      </c>
      <c r="CO21" s="10" t="s">
        <v>29</v>
      </c>
      <c r="CP21" s="11" t="s">
        <v>31</v>
      </c>
      <c r="CQ21" s="13" t="s">
        <v>71</v>
      </c>
      <c r="CR21" s="10" t="s">
        <v>29</v>
      </c>
      <c r="CS21" s="11" t="s">
        <v>31</v>
      </c>
      <c r="CT21" s="13" t="s">
        <v>72</v>
      </c>
      <c r="CU21" s="10" t="s">
        <v>29</v>
      </c>
      <c r="CV21" s="11" t="s">
        <v>50</v>
      </c>
      <c r="CW21" s="13" t="s">
        <v>73</v>
      </c>
      <c r="CX21" s="10" t="s">
        <v>29</v>
      </c>
      <c r="CY21" s="11" t="s">
        <v>74</v>
      </c>
      <c r="CZ21" s="13" t="s">
        <v>75</v>
      </c>
      <c r="DA21" s="10" t="s">
        <v>29</v>
      </c>
      <c r="DB21" s="11" t="s">
        <v>54</v>
      </c>
      <c r="DC21" s="13" t="s">
        <v>76</v>
      </c>
      <c r="DD21" s="10" t="s">
        <v>29</v>
      </c>
      <c r="DE21" s="11" t="s">
        <v>50</v>
      </c>
      <c r="DF21" s="13" t="s">
        <v>77</v>
      </c>
      <c r="DG21" s="10" t="s">
        <v>29</v>
      </c>
      <c r="DH21" s="11" t="s">
        <v>31</v>
      </c>
      <c r="DI21" s="13" t="s">
        <v>78</v>
      </c>
      <c r="DJ21" s="10" t="s">
        <v>29</v>
      </c>
      <c r="DK21" s="11" t="s">
        <v>50</v>
      </c>
      <c r="DL21" s="13" t="s">
        <v>79</v>
      </c>
      <c r="DM21" s="10" t="s">
        <v>29</v>
      </c>
      <c r="DN21" s="11" t="s">
        <v>31</v>
      </c>
      <c r="DO21" s="13" t="s">
        <v>80</v>
      </c>
      <c r="DP21" s="10" t="s">
        <v>29</v>
      </c>
      <c r="DQ21" s="11" t="s">
        <v>57</v>
      </c>
      <c r="XER21" s="9"/>
    </row>
    <row r="22" spans="1:121 16372:16372" ht="15.75" thickBot="1" x14ac:dyDescent="0.3">
      <c r="A22" s="29"/>
      <c r="B22" s="30" t="s">
        <v>27</v>
      </c>
      <c r="C22" s="24" t="s">
        <v>28</v>
      </c>
      <c r="D22" s="25" t="s">
        <v>89</v>
      </c>
      <c r="E22" s="30" t="s">
        <v>27</v>
      </c>
      <c r="F22" s="24" t="s">
        <v>28</v>
      </c>
      <c r="G22" s="25" t="s">
        <v>89</v>
      </c>
      <c r="H22" s="30" t="s">
        <v>27</v>
      </c>
      <c r="I22" s="24" t="s">
        <v>28</v>
      </c>
      <c r="J22" s="25" t="s">
        <v>89</v>
      </c>
      <c r="K22" s="30" t="s">
        <v>27</v>
      </c>
      <c r="L22" s="24" t="s">
        <v>28</v>
      </c>
      <c r="M22" s="25" t="s">
        <v>89</v>
      </c>
      <c r="N22" s="30" t="s">
        <v>27</v>
      </c>
      <c r="O22" s="24" t="s">
        <v>28</v>
      </c>
      <c r="P22" s="25" t="s">
        <v>89</v>
      </c>
      <c r="Q22" s="30" t="s">
        <v>27</v>
      </c>
      <c r="R22" s="24" t="s">
        <v>28</v>
      </c>
      <c r="S22" s="25" t="s">
        <v>89</v>
      </c>
      <c r="T22" s="30" t="s">
        <v>27</v>
      </c>
      <c r="U22" s="24" t="s">
        <v>28</v>
      </c>
      <c r="V22" s="25" t="s">
        <v>89</v>
      </c>
      <c r="W22" s="30" t="s">
        <v>27</v>
      </c>
      <c r="X22" s="24" t="s">
        <v>28</v>
      </c>
      <c r="Y22" s="25" t="s">
        <v>89</v>
      </c>
      <c r="Z22" s="30" t="s">
        <v>27</v>
      </c>
      <c r="AA22" s="24" t="s">
        <v>28</v>
      </c>
      <c r="AB22" s="25" t="s">
        <v>89</v>
      </c>
      <c r="AC22" s="30" t="s">
        <v>27</v>
      </c>
      <c r="AD22" s="24" t="s">
        <v>28</v>
      </c>
      <c r="AE22" s="25" t="s">
        <v>89</v>
      </c>
      <c r="AF22" s="30" t="s">
        <v>27</v>
      </c>
      <c r="AG22" s="24" t="s">
        <v>28</v>
      </c>
      <c r="AH22" s="25" t="s">
        <v>89</v>
      </c>
      <c r="AI22" s="30" t="s">
        <v>27</v>
      </c>
      <c r="AJ22" s="24" t="s">
        <v>28</v>
      </c>
      <c r="AK22" s="25" t="s">
        <v>89</v>
      </c>
      <c r="AL22" s="30" t="s">
        <v>27</v>
      </c>
      <c r="AM22" s="24" t="s">
        <v>28</v>
      </c>
      <c r="AN22" s="25" t="s">
        <v>89</v>
      </c>
      <c r="AO22" s="30" t="s">
        <v>27</v>
      </c>
      <c r="AP22" s="24" t="s">
        <v>28</v>
      </c>
      <c r="AQ22" s="25" t="s">
        <v>89</v>
      </c>
      <c r="AR22" s="30" t="s">
        <v>27</v>
      </c>
      <c r="AS22" s="24" t="s">
        <v>28</v>
      </c>
      <c r="AT22" s="25" t="s">
        <v>89</v>
      </c>
      <c r="AU22" s="30" t="s">
        <v>27</v>
      </c>
      <c r="AV22" s="24" t="s">
        <v>28</v>
      </c>
      <c r="AW22" s="25" t="s">
        <v>89</v>
      </c>
      <c r="AX22" s="30" t="s">
        <v>27</v>
      </c>
      <c r="AY22" s="24" t="s">
        <v>28</v>
      </c>
      <c r="AZ22" s="25" t="s">
        <v>89</v>
      </c>
      <c r="BA22" s="30" t="s">
        <v>27</v>
      </c>
      <c r="BB22" s="24" t="s">
        <v>28</v>
      </c>
      <c r="BC22" s="25" t="s">
        <v>89</v>
      </c>
      <c r="BD22" s="30" t="s">
        <v>27</v>
      </c>
      <c r="BE22" s="24" t="s">
        <v>28</v>
      </c>
      <c r="BF22" s="25" t="s">
        <v>89</v>
      </c>
      <c r="BG22" s="30" t="s">
        <v>27</v>
      </c>
      <c r="BH22" s="24" t="s">
        <v>28</v>
      </c>
      <c r="BI22" s="25" t="s">
        <v>89</v>
      </c>
      <c r="BJ22" s="30" t="s">
        <v>27</v>
      </c>
      <c r="BK22" s="24" t="s">
        <v>28</v>
      </c>
      <c r="BL22" s="25" t="s">
        <v>89</v>
      </c>
      <c r="BM22" s="30" t="s">
        <v>27</v>
      </c>
      <c r="BN22" s="24" t="s">
        <v>28</v>
      </c>
      <c r="BO22" s="25" t="s">
        <v>89</v>
      </c>
      <c r="BP22" s="30" t="s">
        <v>27</v>
      </c>
      <c r="BQ22" s="24" t="s">
        <v>28</v>
      </c>
      <c r="BR22" s="25" t="s">
        <v>89</v>
      </c>
      <c r="BS22" s="30" t="s">
        <v>27</v>
      </c>
      <c r="BT22" s="24" t="s">
        <v>28</v>
      </c>
      <c r="BU22" s="25" t="s">
        <v>89</v>
      </c>
      <c r="BV22" s="30" t="s">
        <v>27</v>
      </c>
      <c r="BW22" s="24" t="s">
        <v>28</v>
      </c>
      <c r="BX22" s="25" t="s">
        <v>89</v>
      </c>
      <c r="BY22" s="30" t="s">
        <v>27</v>
      </c>
      <c r="BZ22" s="24" t="s">
        <v>28</v>
      </c>
      <c r="CA22" s="25" t="s">
        <v>89</v>
      </c>
      <c r="CB22" s="30" t="s">
        <v>27</v>
      </c>
      <c r="CC22" s="24" t="s">
        <v>28</v>
      </c>
      <c r="CD22" s="25" t="s">
        <v>89</v>
      </c>
      <c r="CE22" s="30" t="s">
        <v>27</v>
      </c>
      <c r="CF22" s="24" t="s">
        <v>28</v>
      </c>
      <c r="CG22" s="25" t="s">
        <v>89</v>
      </c>
      <c r="CH22" s="30" t="s">
        <v>27</v>
      </c>
      <c r="CI22" s="24" t="s">
        <v>28</v>
      </c>
      <c r="CJ22" s="25" t="s">
        <v>89</v>
      </c>
      <c r="CK22" s="30" t="s">
        <v>27</v>
      </c>
      <c r="CL22" s="24" t="s">
        <v>28</v>
      </c>
      <c r="CM22" s="25" t="s">
        <v>89</v>
      </c>
      <c r="CN22" s="30" t="s">
        <v>27</v>
      </c>
      <c r="CO22" s="24" t="s">
        <v>28</v>
      </c>
      <c r="CP22" s="25" t="s">
        <v>89</v>
      </c>
      <c r="CQ22" s="30" t="s">
        <v>27</v>
      </c>
      <c r="CR22" s="24" t="s">
        <v>28</v>
      </c>
      <c r="CS22" s="25" t="s">
        <v>89</v>
      </c>
      <c r="CT22" s="30" t="s">
        <v>27</v>
      </c>
      <c r="CU22" s="24" t="s">
        <v>28</v>
      </c>
      <c r="CV22" s="25" t="s">
        <v>89</v>
      </c>
      <c r="CW22" s="30" t="s">
        <v>27</v>
      </c>
      <c r="CX22" s="24" t="s">
        <v>28</v>
      </c>
      <c r="CY22" s="25" t="s">
        <v>89</v>
      </c>
      <c r="CZ22" s="30" t="s">
        <v>27</v>
      </c>
      <c r="DA22" s="24" t="s">
        <v>28</v>
      </c>
      <c r="DB22" s="25" t="s">
        <v>89</v>
      </c>
      <c r="DC22" s="30" t="s">
        <v>27</v>
      </c>
      <c r="DD22" s="24" t="s">
        <v>28</v>
      </c>
      <c r="DE22" s="25" t="s">
        <v>89</v>
      </c>
      <c r="DF22" s="30" t="s">
        <v>27</v>
      </c>
      <c r="DG22" s="24" t="s">
        <v>28</v>
      </c>
      <c r="DH22" s="25" t="s">
        <v>89</v>
      </c>
      <c r="DI22" s="30" t="s">
        <v>27</v>
      </c>
      <c r="DJ22" s="24" t="s">
        <v>28</v>
      </c>
      <c r="DK22" s="25" t="s">
        <v>89</v>
      </c>
      <c r="DL22" s="30" t="s">
        <v>27</v>
      </c>
      <c r="DM22" s="24" t="s">
        <v>28</v>
      </c>
      <c r="DN22" s="25" t="s">
        <v>89</v>
      </c>
      <c r="DO22" s="30" t="s">
        <v>27</v>
      </c>
      <c r="DP22" s="24" t="s">
        <v>28</v>
      </c>
      <c r="DQ22" s="25" t="s">
        <v>89</v>
      </c>
    </row>
    <row r="23" spans="1:121 16372:16372" x14ac:dyDescent="0.25">
      <c r="A23" s="32" t="s">
        <v>90</v>
      </c>
      <c r="B23" s="37" t="s">
        <v>43</v>
      </c>
      <c r="C23" s="38" t="s">
        <v>43</v>
      </c>
      <c r="D23" s="41">
        <f>+D24*(1+(C24+B24))</f>
        <v>51000</v>
      </c>
      <c r="E23" s="37" t="s">
        <v>43</v>
      </c>
      <c r="F23" s="38" t="s">
        <v>43</v>
      </c>
      <c r="G23" s="41">
        <f>+G24*(1+(F24+E24))</f>
        <v>52546.651627499989</v>
      </c>
      <c r="H23" s="37" t="s">
        <v>43</v>
      </c>
      <c r="I23" s="38" t="s">
        <v>43</v>
      </c>
      <c r="J23" s="41">
        <f>+J24*(1+(I24+H24))</f>
        <v>50500</v>
      </c>
      <c r="K23" s="37" t="s">
        <v>43</v>
      </c>
      <c r="L23" s="38" t="s">
        <v>43</v>
      </c>
      <c r="M23" s="41">
        <f>+M24*(1+(L24+K24))</f>
        <v>50500</v>
      </c>
      <c r="N23" s="37" t="s">
        <v>43</v>
      </c>
      <c r="O23" s="38" t="s">
        <v>43</v>
      </c>
      <c r="P23" s="41">
        <f>+P24*(1+(O24+N24))</f>
        <v>52015</v>
      </c>
      <c r="Q23" s="37" t="s">
        <v>43</v>
      </c>
      <c r="R23" s="38" t="s">
        <v>43</v>
      </c>
      <c r="S23" s="41">
        <f>+S24*(1+(R24+Q24))</f>
        <v>51000</v>
      </c>
      <c r="T23" s="37" t="s">
        <v>43</v>
      </c>
      <c r="U23" s="38" t="s">
        <v>43</v>
      </c>
      <c r="V23" s="41">
        <f>+V24*(1+(U24+T24))</f>
        <v>50500</v>
      </c>
      <c r="W23" s="37" t="s">
        <v>43</v>
      </c>
      <c r="X23" s="38" t="s">
        <v>43</v>
      </c>
      <c r="Y23" s="41">
        <f>+Y24*(1+(X24+W24))</f>
        <v>50752.499999999993</v>
      </c>
      <c r="Z23" s="37" t="s">
        <v>43</v>
      </c>
      <c r="AA23" s="38" t="s">
        <v>43</v>
      </c>
      <c r="AB23" s="41">
        <f>+AB24*(1+(AA24+Z24))</f>
        <v>51500</v>
      </c>
      <c r="AC23" s="37" t="s">
        <v>43</v>
      </c>
      <c r="AD23" s="38" t="s">
        <v>43</v>
      </c>
      <c r="AE23" s="41">
        <f>+AE24*(1+(AD24+AC24))</f>
        <v>52500</v>
      </c>
      <c r="AF23" s="37" t="s">
        <v>43</v>
      </c>
      <c r="AG23" s="38" t="s">
        <v>43</v>
      </c>
      <c r="AH23" s="41">
        <f>+AH24*(1+(AG24+AF24))</f>
        <v>51510</v>
      </c>
      <c r="AI23" s="37" t="s">
        <v>43</v>
      </c>
      <c r="AJ23" s="38" t="s">
        <v>43</v>
      </c>
      <c r="AK23" s="41">
        <f>+AK24*(1+(AJ24+AI24))</f>
        <v>52259.999999999993</v>
      </c>
      <c r="AL23" s="37" t="s">
        <v>43</v>
      </c>
      <c r="AM23" s="38" t="s">
        <v>43</v>
      </c>
      <c r="AN23" s="41">
        <f>+AN24*(1+(AM24+AL24))</f>
        <v>52259.999999999993</v>
      </c>
      <c r="AO23" s="37" t="s">
        <v>43</v>
      </c>
      <c r="AP23" s="38" t="s">
        <v>43</v>
      </c>
      <c r="AQ23" s="41">
        <f>+AQ24*(1+(AP24+AO24))</f>
        <v>52259.999999999993</v>
      </c>
      <c r="AR23" s="37" t="s">
        <v>43</v>
      </c>
      <c r="AS23" s="38" t="s">
        <v>43</v>
      </c>
      <c r="AT23" s="41">
        <f>+AT24*(1+(AS24+AR24))</f>
        <v>51510</v>
      </c>
      <c r="AU23" s="37" t="s">
        <v>43</v>
      </c>
      <c r="AV23" s="38" t="s">
        <v>43</v>
      </c>
      <c r="AW23" s="41">
        <f>+AW24*(1+(AV24+AU24))</f>
        <v>51510</v>
      </c>
      <c r="AX23" s="37" t="s">
        <v>43</v>
      </c>
      <c r="AY23" s="38" t="s">
        <v>43</v>
      </c>
      <c r="AZ23" s="41">
        <f>+AZ24*(1+(AY24+AX24))</f>
        <v>50752.499999999993</v>
      </c>
      <c r="BA23" s="37" t="s">
        <v>43</v>
      </c>
      <c r="BB23" s="38" t="s">
        <v>43</v>
      </c>
      <c r="BC23" s="41">
        <f>+BC24*(1+(BB24+BA24))</f>
        <v>51003.749999999985</v>
      </c>
      <c r="BD23" s="37" t="s">
        <v>43</v>
      </c>
      <c r="BE23" s="38" t="s">
        <v>43</v>
      </c>
      <c r="BF23" s="41">
        <f>+BF24*(1+(BE24+BD24))</f>
        <v>50500</v>
      </c>
      <c r="BG23" s="37" t="s">
        <v>43</v>
      </c>
      <c r="BH23" s="38" t="s">
        <v>43</v>
      </c>
      <c r="BI23" s="41">
        <f>+BI24*(1+(BH24+BG24))</f>
        <v>51003.749999999985</v>
      </c>
      <c r="BJ23" s="37" t="s">
        <v>43</v>
      </c>
      <c r="BK23" s="38" t="s">
        <v>43</v>
      </c>
      <c r="BL23" s="41">
        <f>+BL24*(1+(BK24+BJ24))</f>
        <v>51003.749999999985</v>
      </c>
      <c r="BM23" s="37" t="s">
        <v>43</v>
      </c>
      <c r="BN23" s="38" t="s">
        <v>43</v>
      </c>
      <c r="BO23" s="41">
        <f>+BO24*(1+(BN24+BM24))</f>
        <v>51003.749999999985</v>
      </c>
      <c r="BP23" s="37" t="s">
        <v>43</v>
      </c>
      <c r="BQ23" s="38" t="s">
        <v>43</v>
      </c>
      <c r="BR23" s="41">
        <f>+BR24*(1+(BQ24+BP24))</f>
        <v>51510</v>
      </c>
      <c r="BS23" s="37" t="s">
        <v>43</v>
      </c>
      <c r="BT23" s="38" t="s">
        <v>43</v>
      </c>
      <c r="BU23" s="41">
        <f>+BU24*(1+(BT24+BS24))</f>
        <v>52025.1</v>
      </c>
      <c r="BV23" s="37" t="s">
        <v>43</v>
      </c>
      <c r="BW23" s="38" t="s">
        <v>43</v>
      </c>
      <c r="BX23" s="41">
        <f>+BX24*(1+(BW24+BV24))</f>
        <v>51510</v>
      </c>
      <c r="BY23" s="37" t="s">
        <v>43</v>
      </c>
      <c r="BZ23" s="38" t="s">
        <v>43</v>
      </c>
      <c r="CA23" s="41">
        <f>+CA24*(1+(BZ24+BY24))</f>
        <v>51510</v>
      </c>
      <c r="CB23" s="37" t="s">
        <v>43</v>
      </c>
      <c r="CC23" s="38" t="s">
        <v>43</v>
      </c>
      <c r="CD23" s="41">
        <f>+CD24*(1+(CC24+CB24))</f>
        <v>52015</v>
      </c>
      <c r="CE23" s="37" t="s">
        <v>43</v>
      </c>
      <c r="CF23" s="38" t="s">
        <v>43</v>
      </c>
      <c r="CG23" s="41">
        <f>+CG24*(1+(CF24+CE24))</f>
        <v>51510</v>
      </c>
      <c r="CH23" s="37" t="s">
        <v>43</v>
      </c>
      <c r="CI23" s="38" t="s">
        <v>43</v>
      </c>
      <c r="CJ23" s="41">
        <f>+CJ24*(1+(CI24+CH24))</f>
        <v>51510</v>
      </c>
      <c r="CK23" s="37" t="s">
        <v>43</v>
      </c>
      <c r="CL23" s="38" t="s">
        <v>43</v>
      </c>
      <c r="CM23" s="41">
        <f>+CM24*(1+(CL24+CK24))</f>
        <v>51510</v>
      </c>
      <c r="CN23" s="37" t="s">
        <v>43</v>
      </c>
      <c r="CO23" s="38" t="s">
        <v>43</v>
      </c>
      <c r="CP23" s="41">
        <f>+CP24*(1+(CO24+CN24))</f>
        <v>51510</v>
      </c>
      <c r="CQ23" s="37" t="s">
        <v>43</v>
      </c>
      <c r="CR23" s="38" t="s">
        <v>43</v>
      </c>
      <c r="CS23" s="41">
        <f>+CS24*(1+(CR24+CQ24))</f>
        <v>50500</v>
      </c>
      <c r="CT23" s="37" t="s">
        <v>43</v>
      </c>
      <c r="CU23" s="38" t="s">
        <v>43</v>
      </c>
      <c r="CV23" s="41">
        <f>+CV24*(1+(CU24+CT24))</f>
        <v>51003.749999999985</v>
      </c>
      <c r="CW23" s="37" t="s">
        <v>43</v>
      </c>
      <c r="CX23" s="38" t="s">
        <v>43</v>
      </c>
      <c r="CY23" s="41">
        <f>+CY24*(1+(CX24+CW24))</f>
        <v>50500</v>
      </c>
      <c r="CZ23" s="37" t="s">
        <v>43</v>
      </c>
      <c r="DA23" s="38" t="s">
        <v>43</v>
      </c>
      <c r="DB23" s="41">
        <f>+DB24*(1+(DA24+CZ24))</f>
        <v>51003.749999999985</v>
      </c>
      <c r="DC23" s="37" t="s">
        <v>43</v>
      </c>
      <c r="DD23" s="38" t="s">
        <v>43</v>
      </c>
      <c r="DE23" s="41">
        <f>+DE24*(1+(DD24+DC24))</f>
        <v>51003.749999999985</v>
      </c>
      <c r="DF23" s="37" t="s">
        <v>43</v>
      </c>
      <c r="DG23" s="38" t="s">
        <v>43</v>
      </c>
      <c r="DH23" s="41">
        <f>+DH24*(1+(DG24+DF24))</f>
        <v>51003.749999999985</v>
      </c>
      <c r="DI23" s="37" t="s">
        <v>43</v>
      </c>
      <c r="DJ23" s="38" t="s">
        <v>43</v>
      </c>
      <c r="DK23" s="41">
        <f>+DK24*(1+(DJ24+DI24))</f>
        <v>51003.749999999985</v>
      </c>
      <c r="DL23" s="37" t="s">
        <v>43</v>
      </c>
      <c r="DM23" s="38" t="s">
        <v>43</v>
      </c>
      <c r="DN23" s="41">
        <f>+DN24*(1+(DM24+DL24))</f>
        <v>51003.749999999985</v>
      </c>
      <c r="DO23" s="37" t="s">
        <v>43</v>
      </c>
      <c r="DP23" s="38" t="s">
        <v>43</v>
      </c>
      <c r="DQ23" s="41">
        <f>+DQ24*(1+(DP24+DO24))</f>
        <v>52259.999999999993</v>
      </c>
    </row>
    <row r="24" spans="1:121 16372:16372" x14ac:dyDescent="0.25">
      <c r="A24" s="33" t="s">
        <v>8</v>
      </c>
      <c r="B24" s="26"/>
      <c r="C24" s="21"/>
      <c r="D24" s="12">
        <f>+D25*(1+(C25+B25))</f>
        <v>51000</v>
      </c>
      <c r="E24" s="26"/>
      <c r="F24" s="39">
        <v>5.0000000000000001E-3</v>
      </c>
      <c r="G24" s="12">
        <f>+G25*(1+(F25+E25))</f>
        <v>52285.225499999993</v>
      </c>
      <c r="H24" s="26"/>
      <c r="I24" s="21"/>
      <c r="J24" s="12">
        <f>+J25*(1+(I25+H25))</f>
        <v>50500</v>
      </c>
      <c r="K24" s="26"/>
      <c r="L24" s="21"/>
      <c r="M24" s="12">
        <f>+M25*(1+(L25+K25))</f>
        <v>50500</v>
      </c>
      <c r="N24" s="26"/>
      <c r="O24" s="21"/>
      <c r="P24" s="12">
        <f>+P25*(1+(O25+N25))</f>
        <v>52015</v>
      </c>
      <c r="Q24" s="26"/>
      <c r="R24" s="21"/>
      <c r="S24" s="12">
        <f>+S25*(1+(R25+Q25))</f>
        <v>51000</v>
      </c>
      <c r="T24" s="26"/>
      <c r="U24" s="21"/>
      <c r="V24" s="12">
        <f>+V25*(1+(U25+T25))</f>
        <v>50500</v>
      </c>
      <c r="W24" s="26"/>
      <c r="X24" s="21"/>
      <c r="Y24" s="12">
        <f>+Y25*(1+(X25+W25))</f>
        <v>50752.499999999993</v>
      </c>
      <c r="Z24" s="26"/>
      <c r="AA24" s="21"/>
      <c r="AB24" s="12">
        <f>+AB25*(1+(AA25+Z25))</f>
        <v>51500</v>
      </c>
      <c r="AC24" s="26"/>
      <c r="AD24" s="21"/>
      <c r="AE24" s="12">
        <f>+AE25*(1+(AD25+AC25))</f>
        <v>52500</v>
      </c>
      <c r="AF24" s="26"/>
      <c r="AG24" s="21"/>
      <c r="AH24" s="12">
        <f>+AH25*(1+(AG25+AF25))</f>
        <v>51510</v>
      </c>
      <c r="AI24" s="26"/>
      <c r="AJ24" s="21"/>
      <c r="AK24" s="12">
        <f>+AK25*(1+(AJ25+AI25))</f>
        <v>52259.999999999993</v>
      </c>
      <c r="AL24" s="26"/>
      <c r="AM24" s="21"/>
      <c r="AN24" s="12">
        <f>+AN25*(1+(AM25+AL25))</f>
        <v>52259.999999999993</v>
      </c>
      <c r="AO24" s="26"/>
      <c r="AP24" s="21"/>
      <c r="AQ24" s="12">
        <f>+AQ25*(1+(AP25+AO25))</f>
        <v>52259.999999999993</v>
      </c>
      <c r="AR24" s="26"/>
      <c r="AS24" s="21"/>
      <c r="AT24" s="12">
        <f>+AT25*(1+(AS25+AR25))</f>
        <v>51510</v>
      </c>
      <c r="AU24" s="26"/>
      <c r="AV24" s="21"/>
      <c r="AW24" s="12">
        <f>+AW25*(1+(AV25+AU25))</f>
        <v>51510</v>
      </c>
      <c r="AX24" s="26"/>
      <c r="AY24" s="21"/>
      <c r="AZ24" s="12">
        <f>+AZ25*(1+(AY25+AX25))</f>
        <v>50752.499999999993</v>
      </c>
      <c r="BA24" s="26"/>
      <c r="BB24" s="21"/>
      <c r="BC24" s="12">
        <f>+BC25*(1+(BB25+BA25))</f>
        <v>51003.749999999985</v>
      </c>
      <c r="BD24" s="26"/>
      <c r="BE24" s="21"/>
      <c r="BF24" s="12">
        <f>+BF25*(1+(BE25+BD25))</f>
        <v>50500</v>
      </c>
      <c r="BG24" s="26"/>
      <c r="BH24" s="21"/>
      <c r="BI24" s="12">
        <f>+BI25*(1+(BH25+BG25))</f>
        <v>51003.749999999985</v>
      </c>
      <c r="BJ24" s="26"/>
      <c r="BK24" s="21"/>
      <c r="BL24" s="12">
        <f>+BL25*(1+(BK25+BJ25))</f>
        <v>51003.749999999985</v>
      </c>
      <c r="BM24" s="26"/>
      <c r="BN24" s="21"/>
      <c r="BO24" s="12">
        <f>+BO25*(1+(BN25+BM25))</f>
        <v>51003.749999999985</v>
      </c>
      <c r="BP24" s="26"/>
      <c r="BQ24" s="21"/>
      <c r="BR24" s="12">
        <f>+BR25*(1+(BQ25+BP25))</f>
        <v>51510</v>
      </c>
      <c r="BS24" s="26"/>
      <c r="BT24" s="39"/>
      <c r="BU24" s="12">
        <f>+BU25*(1+(BT25+BS25))</f>
        <v>52025.1</v>
      </c>
      <c r="BV24" s="26"/>
      <c r="BW24" s="21"/>
      <c r="BX24" s="12">
        <f>+BX25*(1+(BW25+BV25))</f>
        <v>51510</v>
      </c>
      <c r="BY24" s="26"/>
      <c r="BZ24" s="21"/>
      <c r="CA24" s="12">
        <f>+CA25*(1+(BZ25+BY25))</f>
        <v>51510</v>
      </c>
      <c r="CB24" s="26"/>
      <c r="CC24" s="21"/>
      <c r="CD24" s="12">
        <f>+CD25*(1+(CC25+CB25))</f>
        <v>52015</v>
      </c>
      <c r="CE24" s="26"/>
      <c r="CF24" s="21"/>
      <c r="CG24" s="12">
        <f>+CG25*(1+(CF25+CE25))</f>
        <v>51510</v>
      </c>
      <c r="CH24" s="26"/>
      <c r="CI24" s="21"/>
      <c r="CJ24" s="12">
        <f>+CJ25*(1+(CI25+CH25))</f>
        <v>51510</v>
      </c>
      <c r="CK24" s="26"/>
      <c r="CL24" s="21"/>
      <c r="CM24" s="12">
        <f>+CM25*(1+(CL25+CK25))</f>
        <v>51510</v>
      </c>
      <c r="CN24" s="26"/>
      <c r="CO24" s="21"/>
      <c r="CP24" s="12">
        <f>+CP25*(1+(CO25+CN25))</f>
        <v>51510</v>
      </c>
      <c r="CQ24" s="26"/>
      <c r="CR24" s="21"/>
      <c r="CS24" s="12">
        <f>+CS25*(1+(CR25+CQ25))</f>
        <v>50500</v>
      </c>
      <c r="CT24" s="26"/>
      <c r="CU24" s="21"/>
      <c r="CV24" s="12">
        <f>+CV25*(1+(CU25+CT25))</f>
        <v>51003.749999999985</v>
      </c>
      <c r="CW24" s="26"/>
      <c r="CX24" s="21"/>
      <c r="CY24" s="12">
        <f>+CY25*(1+(CX25+CW25))</f>
        <v>50500</v>
      </c>
      <c r="CZ24" s="26"/>
      <c r="DA24" s="21"/>
      <c r="DB24" s="12">
        <f>+DB25*(1+(DA25+CZ25))</f>
        <v>51003.749999999985</v>
      </c>
      <c r="DC24" s="26"/>
      <c r="DD24" s="21"/>
      <c r="DE24" s="12">
        <f>+DE25*(1+(DD25+DC25))</f>
        <v>51003.749999999985</v>
      </c>
      <c r="DF24" s="26"/>
      <c r="DG24" s="21"/>
      <c r="DH24" s="12">
        <f>+DH25*(1+(DG25+DF25))</f>
        <v>51003.749999999985</v>
      </c>
      <c r="DI24" s="26"/>
      <c r="DJ24" s="21"/>
      <c r="DK24" s="12">
        <f>+DK25*(1+(DJ25+DI25))</f>
        <v>51003.749999999985</v>
      </c>
      <c r="DL24" s="26"/>
      <c r="DM24" s="21"/>
      <c r="DN24" s="12">
        <f>+DN25*(1+(DM25+DL25))</f>
        <v>51003.749999999985</v>
      </c>
      <c r="DO24" s="26"/>
      <c r="DP24" s="21"/>
      <c r="DQ24" s="12">
        <f>+DQ25*(1+(DP25+DO25))</f>
        <v>52259.999999999993</v>
      </c>
    </row>
    <row r="25" spans="1:121 16372:16372" x14ac:dyDescent="0.25">
      <c r="A25" s="33" t="s">
        <v>26</v>
      </c>
      <c r="B25" s="27"/>
      <c r="C25" s="22"/>
      <c r="D25" s="12">
        <f>+D26*(1+(C26+B26))</f>
        <v>51000</v>
      </c>
      <c r="E25" s="27"/>
      <c r="F25" s="39">
        <v>5.0000000000000001E-3</v>
      </c>
      <c r="G25" s="12">
        <f>+G26*(1+(F26+E26))</f>
        <v>52025.1</v>
      </c>
      <c r="H25" s="27"/>
      <c r="I25" s="22"/>
      <c r="J25" s="12">
        <f>+J26*(1+(I26+H26))</f>
        <v>50500</v>
      </c>
      <c r="K25" s="27"/>
      <c r="L25" s="22"/>
      <c r="M25" s="12">
        <f>+M26*(1+(L26+K26))</f>
        <v>50500</v>
      </c>
      <c r="N25" s="27"/>
      <c r="O25" s="22"/>
      <c r="P25" s="12">
        <f>+P26*(1+(O26+N26))</f>
        <v>52015</v>
      </c>
      <c r="Q25" s="27"/>
      <c r="R25" s="22"/>
      <c r="S25" s="12">
        <f>+S26*(1+(R26+Q26))</f>
        <v>51000</v>
      </c>
      <c r="T25" s="27"/>
      <c r="U25" s="22"/>
      <c r="V25" s="12">
        <f>+V26*(1+(U26+T26))</f>
        <v>50500</v>
      </c>
      <c r="W25" s="27"/>
      <c r="X25" s="22"/>
      <c r="Y25" s="12">
        <f>+Y26*(1+(X26+W26))</f>
        <v>50752.499999999993</v>
      </c>
      <c r="Z25" s="27"/>
      <c r="AA25" s="22"/>
      <c r="AB25" s="12">
        <f>+AB26*(1+(AA26+Z26))</f>
        <v>51500</v>
      </c>
      <c r="AC25" s="27"/>
      <c r="AD25" s="22"/>
      <c r="AE25" s="12">
        <f>+AE26*(1+(AD26+AC26))</f>
        <v>52500</v>
      </c>
      <c r="AF25" s="27"/>
      <c r="AG25" s="22"/>
      <c r="AH25" s="12">
        <f>+AH26*(1+(AG26+AF26))</f>
        <v>51510</v>
      </c>
      <c r="AI25" s="27"/>
      <c r="AJ25" s="22"/>
      <c r="AK25" s="12">
        <f>+AK26*(1+(AJ26+AI26))</f>
        <v>52259.999999999993</v>
      </c>
      <c r="AL25" s="27"/>
      <c r="AM25" s="22"/>
      <c r="AN25" s="12">
        <f>+AN26*(1+(AM26+AL26))</f>
        <v>52259.999999999993</v>
      </c>
      <c r="AO25" s="27"/>
      <c r="AP25" s="22"/>
      <c r="AQ25" s="12">
        <f>+AQ26*(1+(AP26+AO26))</f>
        <v>52259.999999999993</v>
      </c>
      <c r="AR25" s="27"/>
      <c r="AS25" s="22"/>
      <c r="AT25" s="12">
        <f>+AT26*(1+(AS26+AR26))</f>
        <v>51510</v>
      </c>
      <c r="AU25" s="27"/>
      <c r="AV25" s="22"/>
      <c r="AW25" s="12">
        <f>+AW26*(1+(AV26+AU26))</f>
        <v>51510</v>
      </c>
      <c r="AX25" s="27"/>
      <c r="AY25" s="22"/>
      <c r="AZ25" s="12">
        <f>+AZ26*(1+(AY26+AX26))</f>
        <v>50752.499999999993</v>
      </c>
      <c r="BA25" s="27"/>
      <c r="BB25" s="22"/>
      <c r="BC25" s="12">
        <f>+BC26*(1+(BB26+BA26))</f>
        <v>51003.749999999985</v>
      </c>
      <c r="BD25" s="27"/>
      <c r="BE25" s="22"/>
      <c r="BF25" s="12">
        <f>+BF26*(1+(BE26+BD26))</f>
        <v>50500</v>
      </c>
      <c r="BG25" s="27"/>
      <c r="BH25" s="22"/>
      <c r="BI25" s="12">
        <f>+BI26*(1+(BH26+BG26))</f>
        <v>51003.749999999985</v>
      </c>
      <c r="BJ25" s="27"/>
      <c r="BK25" s="22"/>
      <c r="BL25" s="12">
        <f>+BL26*(1+(BK26+BJ26))</f>
        <v>51003.749999999985</v>
      </c>
      <c r="BM25" s="27"/>
      <c r="BN25" s="22"/>
      <c r="BO25" s="12">
        <f>+BO26*(1+(BN26+BM26))</f>
        <v>51003.749999999985</v>
      </c>
      <c r="BP25" s="27"/>
      <c r="BQ25" s="22"/>
      <c r="BR25" s="12">
        <f>+BR26*(1+(BQ26+BP26))</f>
        <v>51510</v>
      </c>
      <c r="BS25" s="27"/>
      <c r="BT25" s="39"/>
      <c r="BU25" s="12">
        <f>+BU26*(1+(BT26+BS26))</f>
        <v>52025.1</v>
      </c>
      <c r="BV25" s="27"/>
      <c r="BW25" s="22"/>
      <c r="BX25" s="12">
        <f>+BX26*(1+(BW26+BV26))</f>
        <v>51510</v>
      </c>
      <c r="BY25" s="27"/>
      <c r="BZ25" s="22"/>
      <c r="CA25" s="12">
        <f>+CA26*(1+(BZ26+BY26))</f>
        <v>51510</v>
      </c>
      <c r="CB25" s="27"/>
      <c r="CC25" s="22"/>
      <c r="CD25" s="12">
        <f>+CD26*(1+(CC26+CB26))</f>
        <v>52015</v>
      </c>
      <c r="CE25" s="27"/>
      <c r="CF25" s="22"/>
      <c r="CG25" s="12">
        <f>+CG26*(1+(CF26+CE26))</f>
        <v>51510</v>
      </c>
      <c r="CH25" s="27"/>
      <c r="CI25" s="22"/>
      <c r="CJ25" s="12">
        <f>+CJ26*(1+(CI26+CH26))</f>
        <v>51510</v>
      </c>
      <c r="CK25" s="27"/>
      <c r="CL25" s="22"/>
      <c r="CM25" s="12">
        <f>+CM26*(1+(CL26+CK26))</f>
        <v>51510</v>
      </c>
      <c r="CN25" s="27"/>
      <c r="CO25" s="22"/>
      <c r="CP25" s="12">
        <f>+CP26*(1+(CO26+CN26))</f>
        <v>51510</v>
      </c>
      <c r="CQ25" s="27"/>
      <c r="CR25" s="22"/>
      <c r="CS25" s="12">
        <f>+CS26*(1+(CR26+CQ26))</f>
        <v>50500</v>
      </c>
      <c r="CT25" s="27"/>
      <c r="CU25" s="22"/>
      <c r="CV25" s="12">
        <f>+CV26*(1+(CU26+CT26))</f>
        <v>51003.749999999985</v>
      </c>
      <c r="CW25" s="27"/>
      <c r="CX25" s="22"/>
      <c r="CY25" s="12">
        <f>+CY26*(1+(CX26+CW26))</f>
        <v>50500</v>
      </c>
      <c r="CZ25" s="27"/>
      <c r="DA25" s="22"/>
      <c r="DB25" s="12">
        <f>+DB26*(1+(DA26+CZ26))</f>
        <v>51003.749999999985</v>
      </c>
      <c r="DC25" s="27"/>
      <c r="DD25" s="22"/>
      <c r="DE25" s="12">
        <f>+DE26*(1+(DD26+DC26))</f>
        <v>51003.749999999985</v>
      </c>
      <c r="DF25" s="27"/>
      <c r="DG25" s="22"/>
      <c r="DH25" s="12">
        <f>+DH26*(1+(DG26+DF26))</f>
        <v>51003.749999999985</v>
      </c>
      <c r="DI25" s="27"/>
      <c r="DJ25" s="22"/>
      <c r="DK25" s="12">
        <f>+DK26*(1+(DJ26+DI26))</f>
        <v>51003.749999999985</v>
      </c>
      <c r="DL25" s="27"/>
      <c r="DM25" s="22"/>
      <c r="DN25" s="12">
        <f>+DN26*(1+(DM26+DL26))</f>
        <v>51003.749999999985</v>
      </c>
      <c r="DO25" s="27"/>
      <c r="DP25" s="22"/>
      <c r="DQ25" s="12">
        <f>+DQ26*(1+(DP26+DO26))</f>
        <v>52259.999999999993</v>
      </c>
    </row>
    <row r="26" spans="1:121 16372:16372" ht="15.75" thickBot="1" x14ac:dyDescent="0.3">
      <c r="A26" s="34" t="s">
        <v>9</v>
      </c>
      <c r="B26" s="28"/>
      <c r="C26" s="23"/>
      <c r="D26" s="20">
        <f>+D29*(1+(C29+B29))</f>
        <v>51000</v>
      </c>
      <c r="E26" s="28"/>
      <c r="F26" s="23">
        <v>0.01</v>
      </c>
      <c r="G26" s="20">
        <f>+G29*(1+(F29+E29))</f>
        <v>51510</v>
      </c>
      <c r="H26" s="28"/>
      <c r="I26" s="23"/>
      <c r="J26" s="20">
        <f>+J29*(1+(I29+H29))</f>
        <v>50500</v>
      </c>
      <c r="K26" s="28"/>
      <c r="L26" s="23"/>
      <c r="M26" s="20">
        <f>+M29*(1+(L29+K29))</f>
        <v>50500</v>
      </c>
      <c r="N26" s="28"/>
      <c r="O26" s="23"/>
      <c r="P26" s="20">
        <f>+P29*(1+(O29+N29))</f>
        <v>52015</v>
      </c>
      <c r="Q26" s="28"/>
      <c r="R26" s="23"/>
      <c r="S26" s="20">
        <f>+S29*(1+(R29+Q29))</f>
        <v>51000</v>
      </c>
      <c r="T26" s="28"/>
      <c r="U26" s="23"/>
      <c r="V26" s="20">
        <f>+V29*(1+(U29+T29))</f>
        <v>50500</v>
      </c>
      <c r="W26" s="28"/>
      <c r="X26" s="23"/>
      <c r="Y26" s="20">
        <f>+Y29*(1+(X29+W29))</f>
        <v>50752.499999999993</v>
      </c>
      <c r="Z26" s="28"/>
      <c r="AA26" s="23"/>
      <c r="AB26" s="20">
        <f>+AB29*(1+(AA29+Z29))</f>
        <v>51500</v>
      </c>
      <c r="AC26" s="28"/>
      <c r="AD26" s="23"/>
      <c r="AE26" s="20">
        <f>+AE29*(1+(AD29+AC29))</f>
        <v>52500</v>
      </c>
      <c r="AF26" s="28"/>
      <c r="AG26" s="23">
        <v>0.01</v>
      </c>
      <c r="AH26" s="20">
        <f>+AH29*(1+(AG29+AF29))</f>
        <v>51000</v>
      </c>
      <c r="AI26" s="28">
        <v>0.01</v>
      </c>
      <c r="AJ26" s="23">
        <v>0.03</v>
      </c>
      <c r="AK26" s="20">
        <f>+AK29*(1+(AJ29+AI29))</f>
        <v>50249.999999999993</v>
      </c>
      <c r="AL26" s="28">
        <v>0.01</v>
      </c>
      <c r="AM26" s="23">
        <v>0.03</v>
      </c>
      <c r="AN26" s="20">
        <f>+AN29*(1+(AM29+AL29))</f>
        <v>50249.999999999993</v>
      </c>
      <c r="AO26" s="28">
        <v>0.01</v>
      </c>
      <c r="AP26" s="23">
        <v>0.03</v>
      </c>
      <c r="AQ26" s="20">
        <f>+AQ29*(1+(AP29+AO29))</f>
        <v>50249.999999999993</v>
      </c>
      <c r="AR26" s="28"/>
      <c r="AS26" s="23">
        <v>0.01</v>
      </c>
      <c r="AT26" s="20">
        <f>+AT29*(1+(AS29+AR29))</f>
        <v>51000</v>
      </c>
      <c r="AU26" s="28"/>
      <c r="AV26" s="23">
        <v>0.01</v>
      </c>
      <c r="AW26" s="20">
        <f>+AW29*(1+(AV29+AU29))</f>
        <v>51000</v>
      </c>
      <c r="AX26" s="28"/>
      <c r="AY26" s="54">
        <v>5.0000000000000001E-3</v>
      </c>
      <c r="AZ26" s="20">
        <f>+AZ29*(1+(AY29+AX29))</f>
        <v>50500</v>
      </c>
      <c r="BA26" s="28">
        <v>0.01</v>
      </c>
      <c r="BB26" s="54">
        <v>5.0000000000000001E-3</v>
      </c>
      <c r="BC26" s="20">
        <f>+BC29*(1+(BB29+BA29))</f>
        <v>50249.999999999993</v>
      </c>
      <c r="BD26" s="28"/>
      <c r="BE26" s="23">
        <v>0.01</v>
      </c>
      <c r="BF26" s="20">
        <f>+BF29*(1+(BE29+BD29))</f>
        <v>50000</v>
      </c>
      <c r="BG26" s="28">
        <v>0.01</v>
      </c>
      <c r="BH26" s="54">
        <v>5.0000000000000001E-3</v>
      </c>
      <c r="BI26" s="20">
        <f>+BI29*(1+(BH29+BG29))</f>
        <v>50249.999999999993</v>
      </c>
      <c r="BJ26" s="28">
        <v>0.01</v>
      </c>
      <c r="BK26" s="54">
        <v>5.0000000000000001E-3</v>
      </c>
      <c r="BL26" s="20">
        <f>+BL29*(1+(BK29+BJ29))</f>
        <v>50249.999999999993</v>
      </c>
      <c r="BM26" s="28">
        <v>0.01</v>
      </c>
      <c r="BN26" s="54">
        <v>5.0000000000000001E-3</v>
      </c>
      <c r="BO26" s="20">
        <f>+BO29*(1+(BN29+BM29))</f>
        <v>50249.999999999993</v>
      </c>
      <c r="BP26" s="28"/>
      <c r="BQ26" s="23">
        <v>0.02</v>
      </c>
      <c r="BR26" s="20">
        <f>+BR29*(1+(BQ29+BP29))</f>
        <v>50500</v>
      </c>
      <c r="BS26" s="28"/>
      <c r="BT26" s="23">
        <v>0.01</v>
      </c>
      <c r="BU26" s="20">
        <f>+BU29*(1+(BT29+BS29))</f>
        <v>51510</v>
      </c>
      <c r="BV26" s="28"/>
      <c r="BW26" s="23">
        <v>0.01</v>
      </c>
      <c r="BX26" s="20">
        <f>+BX29*(1+(BW29+BV29))</f>
        <v>51000</v>
      </c>
      <c r="BY26" s="28"/>
      <c r="BZ26" s="23">
        <v>0.01</v>
      </c>
      <c r="CA26" s="20">
        <f>+CA29*(1+(BZ29+BY29))</f>
        <v>51000</v>
      </c>
      <c r="CB26" s="28"/>
      <c r="CC26" s="23">
        <v>0.03</v>
      </c>
      <c r="CD26" s="20">
        <f>+CD29*(1+(CC29+CB29))</f>
        <v>50500</v>
      </c>
      <c r="CE26" s="28"/>
      <c r="CF26" s="23">
        <v>0.01</v>
      </c>
      <c r="CG26" s="20">
        <f>+CG29*(1+(CF29+CE29))</f>
        <v>51000</v>
      </c>
      <c r="CH26" s="28"/>
      <c r="CI26" s="23">
        <v>0.01</v>
      </c>
      <c r="CJ26" s="20">
        <f>+CJ29*(1+(CI29+CH29))</f>
        <v>51000</v>
      </c>
      <c r="CK26" s="28"/>
      <c r="CL26" s="23">
        <v>0.01</v>
      </c>
      <c r="CM26" s="20">
        <f>+CM29*(1+(CL29+CK29))</f>
        <v>51000</v>
      </c>
      <c r="CN26" s="28"/>
      <c r="CO26" s="23">
        <v>0.01</v>
      </c>
      <c r="CP26" s="20">
        <f>+CP29*(1+(CO29+CN29))</f>
        <v>51000</v>
      </c>
      <c r="CQ26" s="28"/>
      <c r="CR26" s="23">
        <v>0.01</v>
      </c>
      <c r="CS26" s="20">
        <f>+CS29*(1+(CR29+CQ29))</f>
        <v>50000</v>
      </c>
      <c r="CT26" s="28">
        <v>0.01</v>
      </c>
      <c r="CU26" s="54">
        <v>5.0000000000000001E-3</v>
      </c>
      <c r="CV26" s="20">
        <f>+CV29*(1+(CU29+CT29))</f>
        <v>50249.999999999993</v>
      </c>
      <c r="CW26" s="28"/>
      <c r="CX26" s="23">
        <v>0.01</v>
      </c>
      <c r="CY26" s="20">
        <f>+CY29*(1+(CX29+CW29))</f>
        <v>50000</v>
      </c>
      <c r="CZ26" s="28">
        <v>0.01</v>
      </c>
      <c r="DA26" s="54">
        <v>5.0000000000000001E-3</v>
      </c>
      <c r="DB26" s="20">
        <f>+DB29*(1+(DA29+CZ29))</f>
        <v>50249.999999999993</v>
      </c>
      <c r="DC26" s="28">
        <v>0.01</v>
      </c>
      <c r="DD26" s="54">
        <v>5.0000000000000001E-3</v>
      </c>
      <c r="DE26" s="20">
        <f>+DE29*(1+(DD29+DC29))</f>
        <v>50249.999999999993</v>
      </c>
      <c r="DF26" s="28">
        <v>0.01</v>
      </c>
      <c r="DG26" s="54">
        <v>5.0000000000000001E-3</v>
      </c>
      <c r="DH26" s="20">
        <f>+DH29*(1+(DG29+DF29))</f>
        <v>50249.999999999993</v>
      </c>
      <c r="DI26" s="28">
        <v>0.01</v>
      </c>
      <c r="DJ26" s="54">
        <v>5.0000000000000001E-3</v>
      </c>
      <c r="DK26" s="20">
        <f>+DK29*(1+(DJ29+DI29))</f>
        <v>50249.999999999993</v>
      </c>
      <c r="DL26" s="28">
        <v>0.01</v>
      </c>
      <c r="DM26" s="54">
        <v>5.0000000000000001E-3</v>
      </c>
      <c r="DN26" s="20">
        <f>+DN29*(1+(DM29+DL29))</f>
        <v>50249.999999999993</v>
      </c>
      <c r="DO26" s="28">
        <v>0.01</v>
      </c>
      <c r="DP26" s="23">
        <v>0.03</v>
      </c>
      <c r="DQ26" s="20">
        <f>+DQ29*(1+(DP29+DO29))</f>
        <v>50249.999999999993</v>
      </c>
    </row>
    <row r="27" spans="1:121 16372:16372" x14ac:dyDescent="0.25">
      <c r="A27" s="32" t="s">
        <v>91</v>
      </c>
      <c r="B27" s="37" t="s">
        <v>43</v>
      </c>
      <c r="C27" s="38" t="s">
        <v>43</v>
      </c>
      <c r="D27" s="41">
        <f>+D28*(1+(C28+B28))</f>
        <v>51510</v>
      </c>
      <c r="E27" s="37" t="s">
        <v>43</v>
      </c>
      <c r="F27" s="38" t="s">
        <v>43</v>
      </c>
      <c r="G27" s="41">
        <f>+G28*(1+(F28+E28))</f>
        <v>51510</v>
      </c>
      <c r="H27" s="37" t="s">
        <v>43</v>
      </c>
      <c r="I27" s="38" t="s">
        <v>43</v>
      </c>
      <c r="J27" s="41">
        <f>+J28*(1+(I28+H28))</f>
        <v>50500</v>
      </c>
      <c r="K27" s="37" t="s">
        <v>43</v>
      </c>
      <c r="L27" s="38" t="s">
        <v>43</v>
      </c>
      <c r="M27" s="41">
        <f>+M28*(1+(L28+K28))</f>
        <v>50500</v>
      </c>
      <c r="N27" s="37" t="s">
        <v>43</v>
      </c>
      <c r="O27" s="38" t="s">
        <v>43</v>
      </c>
      <c r="P27" s="41">
        <f>+P28*(1+(O28+N28))</f>
        <v>52015</v>
      </c>
      <c r="Q27" s="37" t="s">
        <v>43</v>
      </c>
      <c r="R27" s="38" t="s">
        <v>43</v>
      </c>
      <c r="S27" s="41">
        <f>+S28*(1+(R28+Q28))</f>
        <v>51000</v>
      </c>
      <c r="T27" s="37" t="s">
        <v>43</v>
      </c>
      <c r="U27" s="38" t="s">
        <v>43</v>
      </c>
      <c r="V27" s="41">
        <f>+V28*(1+(U28+T28))</f>
        <v>50500</v>
      </c>
      <c r="W27" s="37" t="s">
        <v>43</v>
      </c>
      <c r="X27" s="38" t="s">
        <v>43</v>
      </c>
      <c r="Y27" s="41">
        <f>+Y28*(1+(X28+W28))</f>
        <v>50752.499999999993</v>
      </c>
      <c r="Z27" s="37" t="s">
        <v>43</v>
      </c>
      <c r="AA27" s="38" t="s">
        <v>43</v>
      </c>
      <c r="AB27" s="41">
        <f>+AB28*(1+(AA28+Z28))</f>
        <v>51500</v>
      </c>
      <c r="AC27" s="37" t="s">
        <v>43</v>
      </c>
      <c r="AD27" s="38" t="s">
        <v>43</v>
      </c>
      <c r="AE27" s="41">
        <f>+AE28*(1+(AD28+AC28))</f>
        <v>52500</v>
      </c>
      <c r="AF27" s="37" t="s">
        <v>43</v>
      </c>
      <c r="AG27" s="38" t="s">
        <v>43</v>
      </c>
      <c r="AH27" s="41">
        <f>+AH28*(1+(AG28+AF28))</f>
        <v>51000</v>
      </c>
      <c r="AI27" s="37" t="s">
        <v>43</v>
      </c>
      <c r="AJ27" s="38" t="s">
        <v>43</v>
      </c>
      <c r="AK27" s="41">
        <f>+AK28*(1+(AJ28+AI28))</f>
        <v>50249.999999999993</v>
      </c>
      <c r="AL27" s="37" t="s">
        <v>43</v>
      </c>
      <c r="AM27" s="38" t="s">
        <v>43</v>
      </c>
      <c r="AN27" s="41">
        <f>+AN28*(1+(AM28+AL28))</f>
        <v>50249.999999999993</v>
      </c>
      <c r="AO27" s="37" t="s">
        <v>43</v>
      </c>
      <c r="AP27" s="38" t="s">
        <v>43</v>
      </c>
      <c r="AQ27" s="41">
        <f>+AQ28*(1+(AP28+AO28))</f>
        <v>50249.999999999993</v>
      </c>
      <c r="AR27" s="37" t="s">
        <v>43</v>
      </c>
      <c r="AS27" s="38" t="s">
        <v>43</v>
      </c>
      <c r="AT27" s="41">
        <f>+AT28*(1+(AS28+AR28))</f>
        <v>51000</v>
      </c>
      <c r="AU27" s="37" t="s">
        <v>43</v>
      </c>
      <c r="AV27" s="38" t="s">
        <v>43</v>
      </c>
      <c r="AW27" s="41">
        <f>+AW28*(1+(AV28+AU28))</f>
        <v>51000</v>
      </c>
      <c r="AX27" s="37" t="s">
        <v>43</v>
      </c>
      <c r="AY27" s="38" t="s">
        <v>43</v>
      </c>
      <c r="AZ27" s="41">
        <f>+AZ28*(1+(AY28+AX28))</f>
        <v>50500</v>
      </c>
      <c r="BA27" s="37" t="s">
        <v>43</v>
      </c>
      <c r="BB27" s="38" t="s">
        <v>43</v>
      </c>
      <c r="BC27" s="41">
        <f>+BC28*(1+(BB28+BA28))</f>
        <v>50249.999999999993</v>
      </c>
      <c r="BD27" s="37" t="s">
        <v>43</v>
      </c>
      <c r="BE27" s="38" t="s">
        <v>43</v>
      </c>
      <c r="BF27" s="41">
        <f>+BF28*(1+(BE28+BD28))</f>
        <v>50000</v>
      </c>
      <c r="BG27" s="37" t="s">
        <v>43</v>
      </c>
      <c r="BH27" s="38" t="s">
        <v>43</v>
      </c>
      <c r="BI27" s="41">
        <f>+BI28*(1+(BH28+BG28))</f>
        <v>50249.999999999993</v>
      </c>
      <c r="BJ27" s="37" t="s">
        <v>43</v>
      </c>
      <c r="BK27" s="38" t="s">
        <v>43</v>
      </c>
      <c r="BL27" s="41">
        <f>+BL28*(1+(BK28+BJ28))</f>
        <v>50249.999999999993</v>
      </c>
      <c r="BM27" s="37" t="s">
        <v>43</v>
      </c>
      <c r="BN27" s="38" t="s">
        <v>43</v>
      </c>
      <c r="BO27" s="41">
        <f>+BO28*(1+(BN28+BM28))</f>
        <v>50249.999999999993</v>
      </c>
      <c r="BP27" s="37" t="s">
        <v>43</v>
      </c>
      <c r="BQ27" s="38" t="s">
        <v>43</v>
      </c>
      <c r="BR27" s="41">
        <f>+BR28*(1+(BQ28+BP28))</f>
        <v>50500</v>
      </c>
      <c r="BS27" s="37" t="s">
        <v>43</v>
      </c>
      <c r="BT27" s="38" t="s">
        <v>43</v>
      </c>
      <c r="BU27" s="41">
        <f>+BU28*(1+(BT28+BS28))</f>
        <v>51510</v>
      </c>
      <c r="BV27" s="37" t="s">
        <v>43</v>
      </c>
      <c r="BW27" s="38" t="s">
        <v>43</v>
      </c>
      <c r="BX27" s="41">
        <f>+BX28*(1+(BW28+BV28))</f>
        <v>51000</v>
      </c>
      <c r="BY27" s="37" t="s">
        <v>43</v>
      </c>
      <c r="BZ27" s="38" t="s">
        <v>43</v>
      </c>
      <c r="CA27" s="41">
        <f>+CA28*(1+(BZ28+BY28))</f>
        <v>51000</v>
      </c>
      <c r="CB27" s="37" t="s">
        <v>43</v>
      </c>
      <c r="CC27" s="38" t="s">
        <v>43</v>
      </c>
      <c r="CD27" s="41">
        <f>+CD28*(1+(CC28+CB28))</f>
        <v>50500</v>
      </c>
      <c r="CE27" s="37" t="s">
        <v>43</v>
      </c>
      <c r="CF27" s="38" t="s">
        <v>43</v>
      </c>
      <c r="CG27" s="41">
        <f>+CG28*(1+(CF28+CE28))</f>
        <v>51000</v>
      </c>
      <c r="CH27" s="37" t="s">
        <v>43</v>
      </c>
      <c r="CI27" s="38" t="s">
        <v>43</v>
      </c>
      <c r="CJ27" s="41">
        <f>+CJ28*(1+(CI28+CH28))</f>
        <v>51000</v>
      </c>
      <c r="CK27" s="37" t="s">
        <v>43</v>
      </c>
      <c r="CL27" s="38" t="s">
        <v>43</v>
      </c>
      <c r="CM27" s="41">
        <f>+CM28*(1+(CL28+CK28))</f>
        <v>51000</v>
      </c>
      <c r="CN27" s="37" t="s">
        <v>43</v>
      </c>
      <c r="CO27" s="38" t="s">
        <v>43</v>
      </c>
      <c r="CP27" s="41">
        <f>+CP28*(1+(CO28+CN28))</f>
        <v>51000</v>
      </c>
      <c r="CQ27" s="37" t="s">
        <v>43</v>
      </c>
      <c r="CR27" s="38" t="s">
        <v>43</v>
      </c>
      <c r="CS27" s="41">
        <f>+CS28*(1+(CR28+CQ28))</f>
        <v>50000</v>
      </c>
      <c r="CT27" s="37" t="s">
        <v>43</v>
      </c>
      <c r="CU27" s="38" t="s">
        <v>43</v>
      </c>
      <c r="CV27" s="41">
        <f>+CV28*(1+(CU28+CT28))</f>
        <v>50249.999999999993</v>
      </c>
      <c r="CW27" s="37" t="s">
        <v>43</v>
      </c>
      <c r="CX27" s="38" t="s">
        <v>43</v>
      </c>
      <c r="CY27" s="41">
        <f>+CY28*(1+(CX28+CW28))</f>
        <v>50000</v>
      </c>
      <c r="CZ27" s="37" t="s">
        <v>43</v>
      </c>
      <c r="DA27" s="38" t="s">
        <v>43</v>
      </c>
      <c r="DB27" s="41">
        <f>+DB28*(1+(DA28+CZ28))</f>
        <v>50249.999999999993</v>
      </c>
      <c r="DC27" s="37" t="s">
        <v>43</v>
      </c>
      <c r="DD27" s="38" t="s">
        <v>43</v>
      </c>
      <c r="DE27" s="41">
        <f>+DE28*(1+(DD28+DC28))</f>
        <v>50249.999999999993</v>
      </c>
      <c r="DF27" s="37" t="s">
        <v>43</v>
      </c>
      <c r="DG27" s="38" t="s">
        <v>43</v>
      </c>
      <c r="DH27" s="41">
        <f>+DH28*(1+(DG28+DF28))</f>
        <v>50249.999999999993</v>
      </c>
      <c r="DI27" s="37" t="s">
        <v>43</v>
      </c>
      <c r="DJ27" s="38" t="s">
        <v>43</v>
      </c>
      <c r="DK27" s="41">
        <f>+DK28*(1+(DJ28+DI28))</f>
        <v>50249.999999999993</v>
      </c>
      <c r="DL27" s="37" t="s">
        <v>43</v>
      </c>
      <c r="DM27" s="38" t="s">
        <v>43</v>
      </c>
      <c r="DN27" s="41">
        <f>+DN28*(1+(DM28+DL28))</f>
        <v>50249.999999999993</v>
      </c>
      <c r="DO27" s="37" t="s">
        <v>43</v>
      </c>
      <c r="DP27" s="38" t="s">
        <v>43</v>
      </c>
      <c r="DQ27" s="41">
        <f>+DQ28*(1+(DP28+DO28))</f>
        <v>50249.999999999993</v>
      </c>
    </row>
    <row r="28" spans="1:121 16372:16372" ht="15.75" thickBot="1" x14ac:dyDescent="0.3">
      <c r="A28" s="36" t="s">
        <v>7</v>
      </c>
      <c r="B28" s="28"/>
      <c r="C28" s="23">
        <v>0.01</v>
      </c>
      <c r="D28" s="20">
        <f>+D29*(1+(C29+B29))</f>
        <v>51000</v>
      </c>
      <c r="E28" s="28"/>
      <c r="F28" s="23"/>
      <c r="G28" s="20">
        <f>+G29*(1+(F29+E29))</f>
        <v>51510</v>
      </c>
      <c r="H28" s="28"/>
      <c r="I28" s="23"/>
      <c r="J28" s="20">
        <f>+J29*(1+(I29+H29))</f>
        <v>50500</v>
      </c>
      <c r="K28" s="28"/>
      <c r="L28" s="23"/>
      <c r="M28" s="20">
        <f>+M29*(1+(L29+K29))</f>
        <v>50500</v>
      </c>
      <c r="N28" s="28"/>
      <c r="O28" s="23"/>
      <c r="P28" s="20">
        <f>+P29*(1+(O29+N29))</f>
        <v>52015</v>
      </c>
      <c r="Q28" s="28"/>
      <c r="R28" s="23"/>
      <c r="S28" s="20">
        <f>+S29*(1+(R29+Q29))</f>
        <v>51000</v>
      </c>
      <c r="T28" s="28"/>
      <c r="U28" s="23"/>
      <c r="V28" s="20">
        <f>+V29*(1+(U29+T29))</f>
        <v>50500</v>
      </c>
      <c r="W28" s="28"/>
      <c r="X28" s="23"/>
      <c r="Y28" s="20">
        <f>+Y29*(1+(X29+W29))</f>
        <v>50752.499999999993</v>
      </c>
      <c r="Z28" s="28"/>
      <c r="AA28" s="23"/>
      <c r="AB28" s="20">
        <f>+AB29*(1+(AA29+Z29))</f>
        <v>51500</v>
      </c>
      <c r="AC28" s="28"/>
      <c r="AD28" s="23"/>
      <c r="AE28" s="20">
        <f>+AE29*(1+(AD29+AC29))</f>
        <v>52500</v>
      </c>
      <c r="AF28" s="28"/>
      <c r="AG28" s="23"/>
      <c r="AH28" s="20">
        <f>+AH29*(1+(AG29+AF29))</f>
        <v>51000</v>
      </c>
      <c r="AI28" s="28"/>
      <c r="AJ28" s="23"/>
      <c r="AK28" s="20">
        <f>+AK29*(1+(AJ29+AI29))</f>
        <v>50249.999999999993</v>
      </c>
      <c r="AL28" s="28"/>
      <c r="AM28" s="23"/>
      <c r="AN28" s="20">
        <f>+AN29*(1+(AM29+AL29))</f>
        <v>50249.999999999993</v>
      </c>
      <c r="AO28" s="28"/>
      <c r="AP28" s="23"/>
      <c r="AQ28" s="20">
        <f>+AQ29*(1+(AP29+AO29))</f>
        <v>50249.999999999993</v>
      </c>
      <c r="AR28" s="28"/>
      <c r="AS28" s="23"/>
      <c r="AT28" s="20">
        <f>+AT29*(1+(AS29+AR29))</f>
        <v>51000</v>
      </c>
      <c r="AU28" s="28"/>
      <c r="AV28" s="23"/>
      <c r="AW28" s="20">
        <f>+AW29*(1+(AV29+AU29))</f>
        <v>51000</v>
      </c>
      <c r="AX28" s="28"/>
      <c r="AY28" s="23"/>
      <c r="AZ28" s="20">
        <f>+AZ29*(1+(AY29+AX29))</f>
        <v>50500</v>
      </c>
      <c r="BA28" s="28"/>
      <c r="BB28" s="23"/>
      <c r="BC28" s="20">
        <f>+BC29*(1+(BB29+BA29))</f>
        <v>50249.999999999993</v>
      </c>
      <c r="BD28" s="28"/>
      <c r="BE28" s="23"/>
      <c r="BF28" s="20">
        <f>+BF29*(1+(BE29+BD29))</f>
        <v>50000</v>
      </c>
      <c r="BG28" s="28"/>
      <c r="BH28" s="23"/>
      <c r="BI28" s="20">
        <f>+BI29*(1+(BH29+BG29))</f>
        <v>50249.999999999993</v>
      </c>
      <c r="BJ28" s="28"/>
      <c r="BK28" s="23"/>
      <c r="BL28" s="20">
        <f>+BL29*(1+(BK29+BJ29))</f>
        <v>50249.999999999993</v>
      </c>
      <c r="BM28" s="28"/>
      <c r="BN28" s="23"/>
      <c r="BO28" s="20">
        <f>+BO29*(1+(BN29+BM29))</f>
        <v>50249.999999999993</v>
      </c>
      <c r="BP28" s="28"/>
      <c r="BQ28" s="23"/>
      <c r="BR28" s="20">
        <f>+BR29*(1+(BQ29+BP29))</f>
        <v>50500</v>
      </c>
      <c r="BS28" s="28"/>
      <c r="BT28" s="23"/>
      <c r="BU28" s="20">
        <f>+BU29*(1+(BT29+BS29))</f>
        <v>51510</v>
      </c>
      <c r="BV28" s="28"/>
      <c r="BW28" s="23"/>
      <c r="BX28" s="20">
        <f>+BX29*(1+(BW29+BV29))</f>
        <v>51000</v>
      </c>
      <c r="BY28" s="28"/>
      <c r="BZ28" s="23"/>
      <c r="CA28" s="20">
        <f>+CA29*(1+(BZ29+BY29))</f>
        <v>51000</v>
      </c>
      <c r="CB28" s="28"/>
      <c r="CC28" s="23"/>
      <c r="CD28" s="20">
        <f>+CD29*(1+(CC29+CB29))</f>
        <v>50500</v>
      </c>
      <c r="CE28" s="28"/>
      <c r="CF28" s="23"/>
      <c r="CG28" s="20">
        <f>+CG29*(1+(CF29+CE29))</f>
        <v>51000</v>
      </c>
      <c r="CH28" s="28"/>
      <c r="CI28" s="23"/>
      <c r="CJ28" s="20">
        <f>+CJ29*(1+(CI29+CH29))</f>
        <v>51000</v>
      </c>
      <c r="CK28" s="28"/>
      <c r="CL28" s="23"/>
      <c r="CM28" s="20">
        <f>+CM29*(1+(CL29+CK29))</f>
        <v>51000</v>
      </c>
      <c r="CN28" s="28"/>
      <c r="CO28" s="23"/>
      <c r="CP28" s="20">
        <f>+CP29*(1+(CO29+CN29))</f>
        <v>51000</v>
      </c>
      <c r="CQ28" s="28"/>
      <c r="CR28" s="23"/>
      <c r="CS28" s="20">
        <f>+CS29*(1+(CR29+CQ29))</f>
        <v>50000</v>
      </c>
      <c r="CT28" s="28"/>
      <c r="CU28" s="23"/>
      <c r="CV28" s="20">
        <f>+CV29*(1+(CU29+CT29))</f>
        <v>50249.999999999993</v>
      </c>
      <c r="CW28" s="28"/>
      <c r="CX28" s="23"/>
      <c r="CY28" s="20">
        <f>+CY29*(1+(CX29+CW29))</f>
        <v>50000</v>
      </c>
      <c r="CZ28" s="28"/>
      <c r="DA28" s="23"/>
      <c r="DB28" s="20">
        <f>+DB29*(1+(DA29+CZ29))</f>
        <v>50249.999999999993</v>
      </c>
      <c r="DC28" s="28"/>
      <c r="DD28" s="23"/>
      <c r="DE28" s="20">
        <f>+DE29*(1+(DD29+DC29))</f>
        <v>50249.999999999993</v>
      </c>
      <c r="DF28" s="28"/>
      <c r="DG28" s="23"/>
      <c r="DH28" s="20">
        <f>+DH29*(1+(DG29+DF29))</f>
        <v>50249.999999999993</v>
      </c>
      <c r="DI28" s="28"/>
      <c r="DJ28" s="23"/>
      <c r="DK28" s="20">
        <f>+DK29*(1+(DJ29+DI29))</f>
        <v>50249.999999999993</v>
      </c>
      <c r="DL28" s="28"/>
      <c r="DM28" s="23"/>
      <c r="DN28" s="20">
        <f>+DN29*(1+(DM29+DL29))</f>
        <v>50249.999999999993</v>
      </c>
      <c r="DO28" s="28"/>
      <c r="DP28" s="23"/>
      <c r="DQ28" s="20">
        <f>+DQ29*(1+(DP29+DO29))</f>
        <v>50249.999999999993</v>
      </c>
    </row>
    <row r="29" spans="1:121 16372:16372" x14ac:dyDescent="0.25">
      <c r="A29" s="35" t="s">
        <v>10</v>
      </c>
      <c r="B29" s="26"/>
      <c r="C29" s="21"/>
      <c r="D29" s="31">
        <f>+D30*(1+(C30+B30))</f>
        <v>51000</v>
      </c>
      <c r="E29" s="26"/>
      <c r="F29" s="21">
        <v>0.02</v>
      </c>
      <c r="G29" s="31">
        <f>+G30*(1+(F30+E30))</f>
        <v>50500</v>
      </c>
      <c r="H29" s="26"/>
      <c r="I29" s="21"/>
      <c r="J29" s="31">
        <f>+J30*(1+(I30+H30))</f>
        <v>50500</v>
      </c>
      <c r="K29" s="26"/>
      <c r="L29" s="21"/>
      <c r="M29" s="31">
        <f>+M30*(1+(L30+K30))</f>
        <v>50500</v>
      </c>
      <c r="N29" s="26"/>
      <c r="O29" s="21"/>
      <c r="P29" s="31">
        <f>+P30*(1+(O30+N30))</f>
        <v>52015</v>
      </c>
      <c r="Q29" s="26"/>
      <c r="R29" s="21"/>
      <c r="S29" s="31">
        <f>+S30*(1+(R30+Q30))</f>
        <v>51000</v>
      </c>
      <c r="T29" s="26"/>
      <c r="U29" s="21"/>
      <c r="V29" s="31">
        <f>+V30*(1+(U30+T30))</f>
        <v>50500</v>
      </c>
      <c r="W29" s="26"/>
      <c r="X29" s="21">
        <v>0.01</v>
      </c>
      <c r="Y29" s="31">
        <f>+Y30*(1+(X30+W30))</f>
        <v>50249.999999999993</v>
      </c>
      <c r="Z29" s="26">
        <v>0.01</v>
      </c>
      <c r="AA29" s="21">
        <v>0.02</v>
      </c>
      <c r="AB29" s="31">
        <f>+AB30*(1+(AA30+Z30))</f>
        <v>50000</v>
      </c>
      <c r="AC29" s="26"/>
      <c r="AD29" s="21">
        <v>0.05</v>
      </c>
      <c r="AE29" s="31">
        <f>+AE30*(1+(AD30+AC30))</f>
        <v>50000</v>
      </c>
      <c r="AF29" s="26"/>
      <c r="AG29" s="21">
        <v>0.02</v>
      </c>
      <c r="AH29" s="31">
        <f>+AH30*(1+(AG30+AF30))</f>
        <v>50000</v>
      </c>
      <c r="AI29" s="26"/>
      <c r="AJ29" s="39">
        <v>5.0000000000000001E-3</v>
      </c>
      <c r="AK29" s="31">
        <f>+AK30*(1+(AJ30+AI30))</f>
        <v>50000</v>
      </c>
      <c r="AL29" s="26"/>
      <c r="AM29" s="39">
        <v>5.0000000000000001E-3</v>
      </c>
      <c r="AN29" s="31">
        <f>+AN30*(1+(AM30+AL30))</f>
        <v>50000</v>
      </c>
      <c r="AO29" s="26"/>
      <c r="AP29" s="39">
        <v>5.0000000000000001E-3</v>
      </c>
      <c r="AQ29" s="31">
        <f>+AQ30*(1+(AP30+AO30))</f>
        <v>50000</v>
      </c>
      <c r="AR29" s="26"/>
      <c r="AS29" s="21">
        <v>0.02</v>
      </c>
      <c r="AT29" s="31">
        <f>+AT30*(1+(AS30+AR30))</f>
        <v>50000</v>
      </c>
      <c r="AU29" s="26"/>
      <c r="AV29" s="21">
        <v>0.02</v>
      </c>
      <c r="AW29" s="31">
        <f>+AW30*(1+(AV30+AU30))</f>
        <v>50000</v>
      </c>
      <c r="AX29" s="26"/>
      <c r="AY29" s="21"/>
      <c r="AZ29" s="31">
        <f>+AZ30*(1+(AY30+AX30))</f>
        <v>50500</v>
      </c>
      <c r="BA29" s="26"/>
      <c r="BB29" s="39">
        <v>5.0000000000000001E-3</v>
      </c>
      <c r="BC29" s="31">
        <f>+BC30*(1+(BB30+BA30))</f>
        <v>50000</v>
      </c>
      <c r="BD29" s="26"/>
      <c r="BE29" s="21"/>
      <c r="BF29" s="31">
        <f>+BF30*(1+(BE30+BD30))</f>
        <v>50000</v>
      </c>
      <c r="BG29" s="26"/>
      <c r="BH29" s="21"/>
      <c r="BI29" s="31">
        <f>+BI30*(1+(BH30+BG30))</f>
        <v>50249.999999999993</v>
      </c>
      <c r="BJ29" s="26"/>
      <c r="BK29" s="21"/>
      <c r="BL29" s="31">
        <f>+BL30*(1+(BK30+BJ30))</f>
        <v>50249.999999999993</v>
      </c>
      <c r="BM29" s="26"/>
      <c r="BN29" s="21"/>
      <c r="BO29" s="31">
        <f>+BO30*(1+(BN30+BM30))</f>
        <v>50249.999999999993</v>
      </c>
      <c r="BP29" s="26"/>
      <c r="BQ29" s="21"/>
      <c r="BR29" s="31">
        <f>+BR30*(1+(BQ30+BP30))</f>
        <v>50500</v>
      </c>
      <c r="BS29" s="26"/>
      <c r="BT29" s="21">
        <v>0.02</v>
      </c>
      <c r="BU29" s="31">
        <f>+BU30*(1+(BT30+BS30))</f>
        <v>50500</v>
      </c>
      <c r="BV29" s="26"/>
      <c r="BW29" s="21">
        <v>0.02</v>
      </c>
      <c r="BX29" s="31">
        <f>+BX30*(1+(BW30+BV30))</f>
        <v>50000</v>
      </c>
      <c r="BY29" s="26"/>
      <c r="BZ29" s="21">
        <v>0.02</v>
      </c>
      <c r="CA29" s="31">
        <f>+CA30*(1+(BZ30+BY30))</f>
        <v>50000</v>
      </c>
      <c r="CB29" s="26"/>
      <c r="CC29" s="21"/>
      <c r="CD29" s="31">
        <f>+CD30*(1+(CC30+CB30))</f>
        <v>50500</v>
      </c>
      <c r="CE29" s="26"/>
      <c r="CF29" s="21"/>
      <c r="CG29" s="31">
        <f>+CG30*(1+(CF30+CE30))</f>
        <v>51000</v>
      </c>
      <c r="CH29" s="26"/>
      <c r="CI29" s="21">
        <v>0.02</v>
      </c>
      <c r="CJ29" s="31">
        <f>+CJ30*(1+(CI30+CH30))</f>
        <v>50000</v>
      </c>
      <c r="CK29" s="26"/>
      <c r="CL29" s="21">
        <v>0.02</v>
      </c>
      <c r="CM29" s="31">
        <f>+CM30*(1+(CL30+CK30))</f>
        <v>50000</v>
      </c>
      <c r="CN29" s="26"/>
      <c r="CO29" s="21">
        <v>0.02</v>
      </c>
      <c r="CP29" s="31">
        <f>+CP30*(1+(CO30+CN30))</f>
        <v>50000</v>
      </c>
      <c r="CQ29" s="26"/>
      <c r="CR29" s="21"/>
      <c r="CS29" s="31">
        <f>+CS30*(1+(CR30+CQ30))</f>
        <v>50000</v>
      </c>
      <c r="CT29" s="26"/>
      <c r="CU29" s="21"/>
      <c r="CV29" s="31">
        <f>+CV30*(1+(CU30+CT30))</f>
        <v>50249.999999999993</v>
      </c>
      <c r="CW29" s="26"/>
      <c r="CX29" s="21"/>
      <c r="CY29" s="31">
        <f>+CY30*(1+(CX30+CW30))</f>
        <v>50000</v>
      </c>
      <c r="CZ29" s="26"/>
      <c r="DA29" s="21"/>
      <c r="DB29" s="31">
        <f>+DB30*(1+(DA30+CZ30))</f>
        <v>50249.999999999993</v>
      </c>
      <c r="DC29" s="26"/>
      <c r="DD29" s="21"/>
      <c r="DE29" s="31">
        <f>+DE30*(1+(DD30+DC30))</f>
        <v>50249.999999999993</v>
      </c>
      <c r="DF29" s="26"/>
      <c r="DG29" s="21"/>
      <c r="DH29" s="31">
        <f>+DH30*(1+(DG30+DF30))</f>
        <v>50249.999999999993</v>
      </c>
      <c r="DI29" s="26"/>
      <c r="DJ29" s="21"/>
      <c r="DK29" s="31">
        <f>+DK30*(1+(DJ30+DI30))</f>
        <v>50249.999999999993</v>
      </c>
      <c r="DL29" s="26"/>
      <c r="DM29" s="21"/>
      <c r="DN29" s="31">
        <f>+DN30*(1+(DM30+DL30))</f>
        <v>50249.999999999993</v>
      </c>
      <c r="DO29" s="26"/>
      <c r="DP29" s="39">
        <v>5.0000000000000001E-3</v>
      </c>
      <c r="DQ29" s="31">
        <f>+DQ30*(1+(DP30+DO30))</f>
        <v>50000</v>
      </c>
    </row>
    <row r="30" spans="1:121 16372:16372" x14ac:dyDescent="0.25">
      <c r="A30" s="14" t="s">
        <v>11</v>
      </c>
      <c r="B30" s="27"/>
      <c r="C30" s="22">
        <v>0.02</v>
      </c>
      <c r="D30" s="12">
        <f>+D31*(1+(C31+B31))</f>
        <v>50000</v>
      </c>
      <c r="E30" s="27"/>
      <c r="F30" s="22">
        <v>0.01</v>
      </c>
      <c r="G30" s="12">
        <f>+G31*(1+(F31+E31))</f>
        <v>50000</v>
      </c>
      <c r="H30" s="27"/>
      <c r="I30" s="22">
        <v>0.01</v>
      </c>
      <c r="J30" s="12">
        <f>+J31*(1+(I31+H31))</f>
        <v>50000</v>
      </c>
      <c r="K30" s="27"/>
      <c r="L30" s="22">
        <v>0.01</v>
      </c>
      <c r="M30" s="12">
        <f>+M31*(1+(L31+K31))</f>
        <v>50000</v>
      </c>
      <c r="N30" s="27"/>
      <c r="O30" s="22">
        <v>0.01</v>
      </c>
      <c r="P30" s="12">
        <f>+P31*(1+(O31+N31))</f>
        <v>51500</v>
      </c>
      <c r="Q30" s="27"/>
      <c r="R30" s="22"/>
      <c r="S30" s="12">
        <f>+S31*(1+(R31+Q31))</f>
        <v>51000</v>
      </c>
      <c r="T30" s="27"/>
      <c r="U30" s="22"/>
      <c r="V30" s="12">
        <f>+V31*(1+(U31+T31))</f>
        <v>50500</v>
      </c>
      <c r="W30" s="27"/>
      <c r="X30" s="40">
        <v>5.0000000000000001E-3</v>
      </c>
      <c r="Y30" s="12">
        <f>+Y31*(1+(X31+W31))</f>
        <v>50000</v>
      </c>
      <c r="Z30" s="27"/>
      <c r="AA30" s="22"/>
      <c r="AB30" s="12">
        <f>+AB31*(1+(AA31+Z31))</f>
        <v>50000</v>
      </c>
      <c r="AC30" s="27"/>
      <c r="AD30" s="22"/>
      <c r="AE30" s="12">
        <f>+AE31*(1+(AD31+AC31))</f>
        <v>50000</v>
      </c>
      <c r="AF30" s="27"/>
      <c r="AG30" s="22"/>
      <c r="AH30" s="12">
        <f>+AH31*(1+(AG31+AF31))</f>
        <v>50000</v>
      </c>
      <c r="AI30" s="27"/>
      <c r="AJ30" s="22"/>
      <c r="AK30" s="12">
        <f>+AK31*(1+(AJ31+AI31))</f>
        <v>50000</v>
      </c>
      <c r="AL30" s="27"/>
      <c r="AM30" s="22"/>
      <c r="AN30" s="12">
        <f>+AN31*(1+(AM31+AL31))</f>
        <v>50000</v>
      </c>
      <c r="AO30" s="27"/>
      <c r="AP30" s="22"/>
      <c r="AQ30" s="12">
        <f>+AQ31*(1+(AP31+AO31))</f>
        <v>50000</v>
      </c>
      <c r="AR30" s="27"/>
      <c r="AS30" s="22"/>
      <c r="AT30" s="12">
        <f>+AT31*(1+(AS31+AR31))</f>
        <v>50000</v>
      </c>
      <c r="AU30" s="27"/>
      <c r="AV30" s="22"/>
      <c r="AW30" s="12">
        <f>+AW31*(1+(AV31+AU31))</f>
        <v>50000</v>
      </c>
      <c r="AX30" s="27"/>
      <c r="AY30" s="22">
        <v>0.01</v>
      </c>
      <c r="AZ30" s="12">
        <f>+AZ31*(1+(AY31+AX31))</f>
        <v>50000</v>
      </c>
      <c r="BA30" s="27"/>
      <c r="BB30" s="22"/>
      <c r="BC30" s="12">
        <f>+BC31*(1+(BB31+BA31))</f>
        <v>50000</v>
      </c>
      <c r="BD30" s="27"/>
      <c r="BE30" s="22"/>
      <c r="BF30" s="12">
        <f>+BF31*(1+(BE31+BD31))</f>
        <v>50000</v>
      </c>
      <c r="BG30" s="27"/>
      <c r="BH30" s="40">
        <v>5.0000000000000001E-3</v>
      </c>
      <c r="BI30" s="12">
        <f>+BI31*(1+(BH31+BG31))</f>
        <v>50000</v>
      </c>
      <c r="BJ30" s="27"/>
      <c r="BK30" s="40">
        <v>5.0000000000000001E-3</v>
      </c>
      <c r="BL30" s="12">
        <f>+BL31*(1+(BK31+BJ31))</f>
        <v>50000</v>
      </c>
      <c r="BM30" s="27"/>
      <c r="BN30" s="40">
        <v>5.0000000000000001E-3</v>
      </c>
      <c r="BO30" s="12">
        <f>+BO31*(1+(BN31+BM31))</f>
        <v>50000</v>
      </c>
      <c r="BP30" s="27">
        <v>0.01</v>
      </c>
      <c r="BQ30" s="22"/>
      <c r="BR30" s="12">
        <f>+BR31*(1+(BQ31+BP31))</f>
        <v>50000</v>
      </c>
      <c r="BS30" s="27"/>
      <c r="BT30" s="22">
        <v>0.01</v>
      </c>
      <c r="BU30" s="12">
        <f>+BU31*(1+(BT31+BS31))</f>
        <v>50000</v>
      </c>
      <c r="BV30" s="27"/>
      <c r="BW30" s="22"/>
      <c r="BX30" s="12">
        <f>+BX31*(1+(BW31+BV31))</f>
        <v>50000</v>
      </c>
      <c r="BY30" s="27"/>
      <c r="BZ30" s="22"/>
      <c r="CA30" s="12">
        <f>+CA31*(1+(BZ31+BY31))</f>
        <v>50000</v>
      </c>
      <c r="CB30" s="27"/>
      <c r="CC30" s="22">
        <v>0.01</v>
      </c>
      <c r="CD30" s="12">
        <f>+CD31*(1+(CC31+CB31))</f>
        <v>50000</v>
      </c>
      <c r="CE30" s="27"/>
      <c r="CF30" s="22">
        <v>0.02</v>
      </c>
      <c r="CG30" s="12">
        <f>+CG31*(1+(CF31+CE31))</f>
        <v>50000</v>
      </c>
      <c r="CH30" s="27"/>
      <c r="CI30" s="22"/>
      <c r="CJ30" s="12">
        <f>+CJ31*(1+(CI31+CH31))</f>
        <v>50000</v>
      </c>
      <c r="CK30" s="27"/>
      <c r="CL30" s="22"/>
      <c r="CM30" s="12">
        <f>+CM31*(1+(CL31+CK31))</f>
        <v>50000</v>
      </c>
      <c r="CN30" s="27"/>
      <c r="CO30" s="22"/>
      <c r="CP30" s="12">
        <f>+CP31*(1+(CO31+CN31))</f>
        <v>50000</v>
      </c>
      <c r="CQ30" s="27"/>
      <c r="CR30" s="22"/>
      <c r="CS30" s="12">
        <f>+CS31*(1+(CR31+CQ31))</f>
        <v>50000</v>
      </c>
      <c r="CT30" s="27"/>
      <c r="CU30" s="40">
        <v>5.0000000000000001E-3</v>
      </c>
      <c r="CV30" s="12">
        <f>+CV31*(1+(CU31+CT31))</f>
        <v>50000</v>
      </c>
      <c r="CW30" s="27"/>
      <c r="CX30" s="22"/>
      <c r="CY30" s="12">
        <f>+CY31*(1+(CX31+CW31))</f>
        <v>50000</v>
      </c>
      <c r="CZ30" s="27"/>
      <c r="DA30" s="40">
        <v>5.0000000000000001E-3</v>
      </c>
      <c r="DB30" s="12">
        <f>+DB31*(1+(DA31+CZ31))</f>
        <v>50000</v>
      </c>
      <c r="DC30" s="27"/>
      <c r="DD30" s="40">
        <v>5.0000000000000001E-3</v>
      </c>
      <c r="DE30" s="12">
        <f>+DE31*(1+(DD31+DC31))</f>
        <v>50000</v>
      </c>
      <c r="DF30" s="27"/>
      <c r="DG30" s="40">
        <v>5.0000000000000001E-3</v>
      </c>
      <c r="DH30" s="12">
        <f>+DH31*(1+(DG31+DF31))</f>
        <v>50000</v>
      </c>
      <c r="DI30" s="27"/>
      <c r="DJ30" s="40">
        <v>5.0000000000000001E-3</v>
      </c>
      <c r="DK30" s="12">
        <f>+DK31*(1+(DJ31+DI31))</f>
        <v>50000</v>
      </c>
      <c r="DL30" s="27"/>
      <c r="DM30" s="40">
        <v>5.0000000000000001E-3</v>
      </c>
      <c r="DN30" s="12">
        <f>+DN31*(1+(DM31+DL31))</f>
        <v>50000</v>
      </c>
      <c r="DO30" s="27"/>
      <c r="DP30" s="22"/>
      <c r="DQ30" s="12">
        <f>+DQ31*(1+(DP31+DO31))</f>
        <v>50000</v>
      </c>
    </row>
    <row r="31" spans="1:121 16372:16372" ht="15.75" thickBot="1" x14ac:dyDescent="0.3">
      <c r="A31" s="14" t="s">
        <v>12</v>
      </c>
      <c r="B31" s="28"/>
      <c r="C31" s="23"/>
      <c r="D31" s="20">
        <f>+D32</f>
        <v>50000</v>
      </c>
      <c r="E31" s="28"/>
      <c r="F31" s="23"/>
      <c r="G31" s="20">
        <f>+G32</f>
        <v>50000</v>
      </c>
      <c r="H31" s="28"/>
      <c r="I31" s="23"/>
      <c r="J31" s="20">
        <f>+J32</f>
        <v>50000</v>
      </c>
      <c r="K31" s="28"/>
      <c r="L31" s="23"/>
      <c r="M31" s="20">
        <f>+M32</f>
        <v>50000</v>
      </c>
      <c r="N31" s="28"/>
      <c r="O31" s="23">
        <v>0.03</v>
      </c>
      <c r="P31" s="20">
        <f>+P32</f>
        <v>50000</v>
      </c>
      <c r="Q31" s="28"/>
      <c r="R31" s="23">
        <v>0.02</v>
      </c>
      <c r="S31" s="20">
        <f>+S32</f>
        <v>50000</v>
      </c>
      <c r="T31" s="28"/>
      <c r="U31" s="23">
        <v>0.01</v>
      </c>
      <c r="V31" s="20">
        <f>+V32</f>
        <v>50000</v>
      </c>
      <c r="W31" s="28"/>
      <c r="X31" s="23"/>
      <c r="Y31" s="20">
        <f>+Y32</f>
        <v>50000</v>
      </c>
      <c r="Z31" s="28"/>
      <c r="AA31" s="23"/>
      <c r="AB31" s="20">
        <f>+AB32</f>
        <v>50000</v>
      </c>
      <c r="AC31" s="28"/>
      <c r="AD31" s="23"/>
      <c r="AE31" s="20">
        <f>+AE32</f>
        <v>50000</v>
      </c>
      <c r="AF31" s="28"/>
      <c r="AG31" s="23"/>
      <c r="AH31" s="20">
        <f>+AH32</f>
        <v>50000</v>
      </c>
      <c r="AI31" s="28"/>
      <c r="AJ31" s="23"/>
      <c r="AK31" s="20">
        <f>+AK32</f>
        <v>50000</v>
      </c>
      <c r="AL31" s="28"/>
      <c r="AM31" s="23"/>
      <c r="AN31" s="20">
        <f>+AN32</f>
        <v>50000</v>
      </c>
      <c r="AO31" s="28"/>
      <c r="AP31" s="23"/>
      <c r="AQ31" s="20">
        <f>+AQ32</f>
        <v>50000</v>
      </c>
      <c r="AR31" s="28"/>
      <c r="AS31" s="23"/>
      <c r="AT31" s="20">
        <f>+AT32</f>
        <v>50000</v>
      </c>
      <c r="AU31" s="28"/>
      <c r="AV31" s="23"/>
      <c r="AW31" s="20">
        <f>+AW32</f>
        <v>50000</v>
      </c>
      <c r="AX31" s="28"/>
      <c r="AY31" s="23"/>
      <c r="AZ31" s="20">
        <f>+AZ32</f>
        <v>50000</v>
      </c>
      <c r="BA31" s="28"/>
      <c r="BB31" s="23"/>
      <c r="BC31" s="20">
        <f>+BC32</f>
        <v>50000</v>
      </c>
      <c r="BD31" s="28"/>
      <c r="BE31" s="23"/>
      <c r="BF31" s="20">
        <f>+BF32</f>
        <v>50000</v>
      </c>
      <c r="BG31" s="28"/>
      <c r="BH31" s="23"/>
      <c r="BI31" s="20">
        <f>+BI32</f>
        <v>50000</v>
      </c>
      <c r="BJ31" s="28"/>
      <c r="BK31" s="23"/>
      <c r="BL31" s="20">
        <f>+BL32</f>
        <v>50000</v>
      </c>
      <c r="BM31" s="28"/>
      <c r="BN31" s="23"/>
      <c r="BO31" s="20">
        <f>+BO32</f>
        <v>50000</v>
      </c>
      <c r="BP31" s="28"/>
      <c r="BQ31" s="23"/>
      <c r="BR31" s="20">
        <f>+BR32</f>
        <v>50000</v>
      </c>
      <c r="BS31" s="28"/>
      <c r="BT31" s="23"/>
      <c r="BU31" s="20">
        <f>+BU32</f>
        <v>50000</v>
      </c>
      <c r="BV31" s="28"/>
      <c r="BW31" s="23"/>
      <c r="BX31" s="20">
        <f>+BX32</f>
        <v>50000</v>
      </c>
      <c r="BY31" s="28"/>
      <c r="BZ31" s="23"/>
      <c r="CA31" s="20">
        <f>+CA32</f>
        <v>50000</v>
      </c>
      <c r="CB31" s="28"/>
      <c r="CC31" s="23"/>
      <c r="CD31" s="20">
        <f>+CD32</f>
        <v>50000</v>
      </c>
      <c r="CE31" s="28"/>
      <c r="CF31" s="23"/>
      <c r="CG31" s="20">
        <f>+CG32</f>
        <v>50000</v>
      </c>
      <c r="CH31" s="28"/>
      <c r="CI31" s="23"/>
      <c r="CJ31" s="20">
        <f>+CJ32</f>
        <v>50000</v>
      </c>
      <c r="CK31" s="28"/>
      <c r="CL31" s="23"/>
      <c r="CM31" s="20">
        <f>+CM32</f>
        <v>50000</v>
      </c>
      <c r="CN31" s="28"/>
      <c r="CO31" s="23"/>
      <c r="CP31" s="20">
        <f>+CP32</f>
        <v>50000</v>
      </c>
      <c r="CQ31" s="28"/>
      <c r="CR31" s="23"/>
      <c r="CS31" s="20">
        <f>+CS32</f>
        <v>50000</v>
      </c>
      <c r="CT31" s="28"/>
      <c r="CU31" s="23"/>
      <c r="CV31" s="20">
        <f>+CV32</f>
        <v>50000</v>
      </c>
      <c r="CW31" s="28"/>
      <c r="CX31" s="23"/>
      <c r="CY31" s="20">
        <f>+CY32</f>
        <v>50000</v>
      </c>
      <c r="CZ31" s="28"/>
      <c r="DA31" s="23"/>
      <c r="DB31" s="20">
        <f>+DB32</f>
        <v>50000</v>
      </c>
      <c r="DC31" s="28"/>
      <c r="DD31" s="23"/>
      <c r="DE31" s="20">
        <f>+DE32</f>
        <v>50000</v>
      </c>
      <c r="DF31" s="28"/>
      <c r="DG31" s="23"/>
      <c r="DH31" s="20">
        <f>+DH32</f>
        <v>50000</v>
      </c>
      <c r="DI31" s="28"/>
      <c r="DJ31" s="23"/>
      <c r="DK31" s="20">
        <f>+DK32</f>
        <v>50000</v>
      </c>
      <c r="DL31" s="28"/>
      <c r="DM31" s="23"/>
      <c r="DN31" s="20">
        <f>+DN32</f>
        <v>50000</v>
      </c>
      <c r="DO31" s="28"/>
      <c r="DP31" s="23"/>
      <c r="DQ31" s="20">
        <f>+DQ32</f>
        <v>50000</v>
      </c>
    </row>
    <row r="32" spans="1:121 16372:16372" ht="15.75" thickBot="1" x14ac:dyDescent="0.3">
      <c r="A32" s="5" t="s">
        <v>13</v>
      </c>
      <c r="B32" s="55">
        <f>+SUMPRODUCT(B23:B31,D23:D31)</f>
        <v>0</v>
      </c>
      <c r="C32" s="56">
        <f>+SUMPRODUCT(C23:C31,D23:D31)</f>
        <v>1510</v>
      </c>
      <c r="D32" s="57">
        <v>50000</v>
      </c>
      <c r="E32" s="55">
        <f>+SUMPRODUCT(E23:E31,G23:G31)</f>
        <v>0</v>
      </c>
      <c r="F32" s="56">
        <f>+SUMPRODUCT(F23:F31,G23:G31)</f>
        <v>2546.6516274999999</v>
      </c>
      <c r="G32" s="57">
        <v>50000</v>
      </c>
      <c r="H32" s="55">
        <f>+SUMPRODUCT(H23:H31,J23:J31)</f>
        <v>0</v>
      </c>
      <c r="I32" s="56">
        <f>+SUMPRODUCT(I23:I31,J23:J31)</f>
        <v>500</v>
      </c>
      <c r="J32" s="57">
        <v>50000</v>
      </c>
      <c r="K32" s="55">
        <f>+SUMPRODUCT(K23:K31,M23:M31)</f>
        <v>0</v>
      </c>
      <c r="L32" s="56">
        <f>+SUMPRODUCT(L23:L31,M23:M31)</f>
        <v>500</v>
      </c>
      <c r="M32" s="57">
        <v>50000</v>
      </c>
      <c r="N32" s="55">
        <f>+SUMPRODUCT(N23:N31,P23:P31)</f>
        <v>0</v>
      </c>
      <c r="O32" s="56">
        <f>+SUMPRODUCT(O23:O31,P23:P31)</f>
        <v>2015</v>
      </c>
      <c r="P32" s="57">
        <v>50000</v>
      </c>
      <c r="Q32" s="55">
        <f>+SUMPRODUCT(Q23:Q31,S23:S31)</f>
        <v>0</v>
      </c>
      <c r="R32" s="56">
        <f>+SUMPRODUCT(R23:R31,S23:S31)</f>
        <v>1000</v>
      </c>
      <c r="S32" s="57">
        <v>50000</v>
      </c>
      <c r="T32" s="55">
        <f>+SUMPRODUCT(T23:T31,V23:V31)</f>
        <v>0</v>
      </c>
      <c r="U32" s="56">
        <f>+SUMPRODUCT(U23:U31,V23:V31)</f>
        <v>500</v>
      </c>
      <c r="V32" s="57">
        <v>50000</v>
      </c>
      <c r="W32" s="55">
        <f>+SUMPRODUCT(W23:W31,Y23:Y31)</f>
        <v>0</v>
      </c>
      <c r="X32" s="56">
        <f>+SUMPRODUCT(X23:X31,Y23:Y31)</f>
        <v>752.5</v>
      </c>
      <c r="Y32" s="57">
        <v>50000</v>
      </c>
      <c r="Z32" s="55">
        <f>+SUMPRODUCT(Z23:Z31,AB23:AB31)</f>
        <v>500</v>
      </c>
      <c r="AA32" s="56">
        <f>+SUMPRODUCT(AA23:AA31,AB23:AB31)</f>
        <v>1000</v>
      </c>
      <c r="AB32" s="57">
        <v>50000</v>
      </c>
      <c r="AC32" s="55">
        <f>+SUMPRODUCT(AC23:AC31,AE23:AE31)</f>
        <v>0</v>
      </c>
      <c r="AD32" s="56">
        <f>+SUMPRODUCT(AD23:AD31,AE23:AE31)</f>
        <v>2500</v>
      </c>
      <c r="AE32" s="57">
        <v>50000</v>
      </c>
      <c r="AF32" s="55">
        <f>+SUMPRODUCT(AF23:AF31,AH23:AH31)</f>
        <v>0</v>
      </c>
      <c r="AG32" s="56">
        <f>+SUMPRODUCT(AG23:AG31,AH23:AH31)</f>
        <v>1510</v>
      </c>
      <c r="AH32" s="57">
        <v>50000</v>
      </c>
      <c r="AI32" s="55">
        <f>+SUMPRODUCT(AI23:AI31,AK23:AK31)</f>
        <v>502.49999999999994</v>
      </c>
      <c r="AJ32" s="56">
        <f>+SUMPRODUCT(AJ23:AJ31,AK23:AK31)</f>
        <v>1757.4999999999998</v>
      </c>
      <c r="AK32" s="57">
        <v>50000</v>
      </c>
      <c r="AL32" s="55">
        <f>+SUMPRODUCT(AL23:AL31,AN23:AN31)</f>
        <v>502.49999999999994</v>
      </c>
      <c r="AM32" s="56">
        <f>+SUMPRODUCT(AM23:AM31,AN23:AN31)</f>
        <v>1757.4999999999998</v>
      </c>
      <c r="AN32" s="57">
        <v>50000</v>
      </c>
      <c r="AO32" s="55">
        <f>+SUMPRODUCT(AO23:AO31,AQ23:AQ31)</f>
        <v>502.49999999999994</v>
      </c>
      <c r="AP32" s="56">
        <f>+SUMPRODUCT(AP23:AP31,AQ23:AQ31)</f>
        <v>1757.4999999999998</v>
      </c>
      <c r="AQ32" s="57">
        <v>50000</v>
      </c>
      <c r="AR32" s="55">
        <f>+SUMPRODUCT(AR23:AR31,AT23:AT31)</f>
        <v>0</v>
      </c>
      <c r="AS32" s="56">
        <f>+SUMPRODUCT(AS23:AS31,AT23:AT31)</f>
        <v>1510</v>
      </c>
      <c r="AT32" s="57">
        <v>50000</v>
      </c>
      <c r="AU32" s="55">
        <f>+SUMPRODUCT(AU23:AU31,AW23:AW31)</f>
        <v>0</v>
      </c>
      <c r="AV32" s="56">
        <f>+SUMPRODUCT(AV23:AV31,AW23:AW31)</f>
        <v>1510</v>
      </c>
      <c r="AW32" s="57">
        <v>50000</v>
      </c>
      <c r="AX32" s="55">
        <f>+SUMPRODUCT(AX23:AX31,AZ23:AZ31)</f>
        <v>0</v>
      </c>
      <c r="AY32" s="56">
        <f>+SUMPRODUCT(AY23:AY31,AZ23:AZ31)</f>
        <v>752.5</v>
      </c>
      <c r="AZ32" s="57">
        <v>50000</v>
      </c>
      <c r="BA32" s="55">
        <f>+SUMPRODUCT(BA23:BA31,BC23:BC31)</f>
        <v>502.49999999999994</v>
      </c>
      <c r="BB32" s="56">
        <f>+SUMPRODUCT(BB23:BB31,BC23:BC31)</f>
        <v>501.25</v>
      </c>
      <c r="BC32" s="57">
        <v>50000</v>
      </c>
      <c r="BD32" s="55">
        <f>+SUMPRODUCT(BD23:BD31,BF23:BF31)</f>
        <v>0</v>
      </c>
      <c r="BE32" s="56">
        <f>+SUMPRODUCT(BE23:BE31,BF23:BF31)</f>
        <v>500</v>
      </c>
      <c r="BF32" s="57">
        <v>50000</v>
      </c>
      <c r="BG32" s="55">
        <f>+SUMPRODUCT(BG23:BG31,BI23:BI31)</f>
        <v>502.49999999999994</v>
      </c>
      <c r="BH32" s="56">
        <f>+SUMPRODUCT(BH23:BH31,BI23:BI31)</f>
        <v>501.25</v>
      </c>
      <c r="BI32" s="57">
        <v>50000</v>
      </c>
      <c r="BJ32" s="55">
        <f>+SUMPRODUCT(BJ23:BJ31,BL23:BL31)</f>
        <v>502.49999999999994</v>
      </c>
      <c r="BK32" s="56">
        <f>+SUMPRODUCT(BK23:BK31,BL23:BL31)</f>
        <v>501.25</v>
      </c>
      <c r="BL32" s="57">
        <v>50000</v>
      </c>
      <c r="BM32" s="55">
        <f>+SUMPRODUCT(BM23:BM31,BO23:BO31)</f>
        <v>502.49999999999994</v>
      </c>
      <c r="BN32" s="56">
        <f>+SUMPRODUCT(BN23:BN31,BO23:BO31)</f>
        <v>501.25</v>
      </c>
      <c r="BO32" s="57">
        <v>50000</v>
      </c>
      <c r="BP32" s="55">
        <f>+SUMPRODUCT(BP23:BP31,BR23:BR31)</f>
        <v>500</v>
      </c>
      <c r="BQ32" s="56">
        <f>+SUMPRODUCT(BQ23:BQ31,BR23:BR31)</f>
        <v>1010</v>
      </c>
      <c r="BR32" s="57">
        <v>50000</v>
      </c>
      <c r="BS32" s="55">
        <f>+SUMPRODUCT(BS23:BS31,BU23:BU31)</f>
        <v>0</v>
      </c>
      <c r="BT32" s="56">
        <f>+SUMPRODUCT(BT23:BT31,BU23:BU31)</f>
        <v>2025.1</v>
      </c>
      <c r="BU32" s="57">
        <v>50000</v>
      </c>
      <c r="BV32" s="55">
        <f>+SUMPRODUCT(BV23:BV31,BX23:BX31)</f>
        <v>0</v>
      </c>
      <c r="BW32" s="56">
        <f>+SUMPRODUCT(BW23:BW31,BX23:BX31)</f>
        <v>1510</v>
      </c>
      <c r="BX32" s="57">
        <v>50000</v>
      </c>
      <c r="BY32" s="55">
        <f>+SUMPRODUCT(BY23:BY31,CA23:CA31)</f>
        <v>0</v>
      </c>
      <c r="BZ32" s="56">
        <f>+SUMPRODUCT(BZ23:BZ31,CA23:CA31)</f>
        <v>1510</v>
      </c>
      <c r="CA32" s="57">
        <v>50000</v>
      </c>
      <c r="CB32" s="55">
        <f>+SUMPRODUCT(CB23:CB31,CD23:CD31)</f>
        <v>0</v>
      </c>
      <c r="CC32" s="56">
        <f>+SUMPRODUCT(CC23:CC31,CD23:CD31)</f>
        <v>2015</v>
      </c>
      <c r="CD32" s="57">
        <v>50000</v>
      </c>
      <c r="CE32" s="55">
        <f>+SUMPRODUCT(CE23:CE31,CG23:CG31)</f>
        <v>0</v>
      </c>
      <c r="CF32" s="56">
        <f>+SUMPRODUCT(CF23:CF31,CG23:CG31)</f>
        <v>1510</v>
      </c>
      <c r="CG32" s="57">
        <v>50000</v>
      </c>
      <c r="CH32" s="55">
        <f>+SUMPRODUCT(CH23:CH31,CJ23:CJ31)</f>
        <v>0</v>
      </c>
      <c r="CI32" s="56">
        <f>+SUMPRODUCT(CI23:CI31,CJ23:CJ31)</f>
        <v>1510</v>
      </c>
      <c r="CJ32" s="57">
        <v>50000</v>
      </c>
      <c r="CK32" s="55">
        <f>+SUMPRODUCT(CK23:CK31,CM23:CM31)</f>
        <v>0</v>
      </c>
      <c r="CL32" s="56">
        <f>+SUMPRODUCT(CL23:CL31,CM23:CM31)</f>
        <v>1510</v>
      </c>
      <c r="CM32" s="57">
        <v>50000</v>
      </c>
      <c r="CN32" s="55">
        <f>+SUMPRODUCT(CN23:CN31,CP23:CP31)</f>
        <v>0</v>
      </c>
      <c r="CO32" s="56">
        <f>+SUMPRODUCT(CO23:CO31,CP23:CP31)</f>
        <v>1510</v>
      </c>
      <c r="CP32" s="57">
        <v>50000</v>
      </c>
      <c r="CQ32" s="55">
        <f>+SUMPRODUCT(CQ23:CQ31,CS23:CS31)</f>
        <v>0</v>
      </c>
      <c r="CR32" s="56">
        <f>+SUMPRODUCT(CR23:CR31,CS23:CS31)</f>
        <v>500</v>
      </c>
      <c r="CS32" s="57">
        <v>50000</v>
      </c>
      <c r="CT32" s="55">
        <f>+SUMPRODUCT(CT23:CT31,CV23:CV31)</f>
        <v>502.49999999999994</v>
      </c>
      <c r="CU32" s="56">
        <f>+SUMPRODUCT(CU23:CU31,CV23:CV31)</f>
        <v>501.25</v>
      </c>
      <c r="CV32" s="57">
        <v>50000</v>
      </c>
      <c r="CW32" s="55">
        <f>+SUMPRODUCT(CW23:CW31,CY23:CY31)</f>
        <v>0</v>
      </c>
      <c r="CX32" s="56">
        <f>+SUMPRODUCT(CX23:CX31,CY23:CY31)</f>
        <v>500</v>
      </c>
      <c r="CY32" s="57">
        <v>50000</v>
      </c>
      <c r="CZ32" s="55">
        <f>+SUMPRODUCT(CZ23:CZ31,DB23:DB31)</f>
        <v>502.49999999999994</v>
      </c>
      <c r="DA32" s="56">
        <f>+SUMPRODUCT(DA23:DA31,DB23:DB31)</f>
        <v>501.25</v>
      </c>
      <c r="DB32" s="57">
        <v>50000</v>
      </c>
      <c r="DC32" s="55">
        <f>+SUMPRODUCT(DC23:DC31,DE23:DE31)</f>
        <v>502.49999999999994</v>
      </c>
      <c r="DD32" s="56">
        <f>+SUMPRODUCT(DD23:DD31,DE23:DE31)</f>
        <v>501.25</v>
      </c>
      <c r="DE32" s="57">
        <v>50000</v>
      </c>
      <c r="DF32" s="55">
        <f>+SUMPRODUCT(DF23:DF31,DH23:DH31)</f>
        <v>502.49999999999994</v>
      </c>
      <c r="DG32" s="56">
        <f>+SUMPRODUCT(DG23:DG31,DH23:DH31)</f>
        <v>501.25</v>
      </c>
      <c r="DH32" s="57">
        <v>50000</v>
      </c>
      <c r="DI32" s="55">
        <f>+SUMPRODUCT(DI23:DI31,DK23:DK31)</f>
        <v>502.49999999999994</v>
      </c>
      <c r="DJ32" s="56">
        <f>+SUMPRODUCT(DJ23:DJ31,DK23:DK31)</f>
        <v>501.25</v>
      </c>
      <c r="DK32" s="57">
        <v>50000</v>
      </c>
      <c r="DL32" s="55">
        <f>+SUMPRODUCT(DL23:DL31,DN23:DN31)</f>
        <v>502.49999999999994</v>
      </c>
      <c r="DM32" s="56">
        <f>+SUMPRODUCT(DM23:DM31,DN23:DN31)</f>
        <v>501.25</v>
      </c>
      <c r="DN32" s="57">
        <v>50000</v>
      </c>
      <c r="DO32" s="55">
        <f>+SUMPRODUCT(DO23:DO31,DQ23:DQ31)</f>
        <v>502.49999999999994</v>
      </c>
      <c r="DP32" s="56">
        <f>+SUMPRODUCT(DP23:DP31,DQ23:DQ31)</f>
        <v>1757.4999999999998</v>
      </c>
      <c r="DQ32" s="57">
        <v>50000</v>
      </c>
    </row>
    <row r="33" spans="1:121" ht="15.75" thickBot="1" x14ac:dyDescent="0.3"/>
    <row r="34" spans="1:121" ht="15.75" thickBot="1" x14ac:dyDescent="0.3">
      <c r="A34" s="45" t="s">
        <v>100</v>
      </c>
      <c r="B34" s="50" t="str">
        <f>+B$21</f>
        <v>Baquelita</v>
      </c>
      <c r="C34" s="50"/>
      <c r="D34" s="51">
        <f>+D35*VLOOKUP(B21,$E$40:$I$144,4,FALSE)</f>
        <v>77265</v>
      </c>
      <c r="E34" s="50" t="str">
        <f>+E$21</f>
        <v>Plaqueta de cobre</v>
      </c>
      <c r="F34" s="50"/>
      <c r="G34" s="51">
        <f>+G35*VLOOKUP(E21,$E$40:$I$144,4,FALSE)</f>
        <v>52546.651627499989</v>
      </c>
      <c r="H34" s="50" t="str">
        <f>+H$21</f>
        <v>Bateria</v>
      </c>
      <c r="I34" s="50"/>
      <c r="J34" s="51">
        <f>+J35*VLOOKUP(H21,$E$40:$I$144,4,FALSE)</f>
        <v>50500</v>
      </c>
      <c r="K34" s="50" t="str">
        <f>+K$21</f>
        <v>Cargador</v>
      </c>
      <c r="L34" s="50"/>
      <c r="M34" s="51">
        <f>+M35*VLOOKUP(K21,$E$40:$I$144,4,FALSE)</f>
        <v>50500</v>
      </c>
      <c r="N34" s="50" t="str">
        <f>+N$21</f>
        <v>Manual</v>
      </c>
      <c r="O34" s="50"/>
      <c r="P34" s="51">
        <f>+P35*VLOOKUP(N21,$E$40:$I$144,4,FALSE)</f>
        <v>52015</v>
      </c>
      <c r="Q34" s="50" t="str">
        <f>+Q$21</f>
        <v>Bolsa Plastica</v>
      </c>
      <c r="R34" s="50"/>
      <c r="S34" s="51">
        <f>+S35*VLOOKUP(Q21,$E$40:$I$144,4,FALSE)</f>
        <v>51000</v>
      </c>
      <c r="T34" s="50" t="str">
        <f>+T$21</f>
        <v>Caja Carton</v>
      </c>
      <c r="U34" s="50"/>
      <c r="V34" s="51">
        <f>+V35*VLOOKUP(T21,$E$40:$I$144,4,FALSE)</f>
        <v>50500</v>
      </c>
      <c r="W34" s="50" t="str">
        <f>+W$21</f>
        <v>Tornillos</v>
      </c>
      <c r="X34" s="50"/>
      <c r="Y34" s="51">
        <f>+Y35*VLOOKUP(W21,$E$40:$I$144,4,FALSE)</f>
        <v>507524.99999999994</v>
      </c>
      <c r="Z34" s="50" t="str">
        <f>+Z$21</f>
        <v>Cable</v>
      </c>
      <c r="AA34" s="50"/>
      <c r="AB34" s="51">
        <f>+AB35*VLOOKUP(Z21,$E$40:$I$144,4,FALSE)</f>
        <v>15450</v>
      </c>
      <c r="AC34" s="50" t="str">
        <f>+AC$21</f>
        <v>Pegamento</v>
      </c>
      <c r="AD34" s="50"/>
      <c r="AE34" s="51">
        <f>+AE35*VLOOKUP(AC21,$E$40:$I$144,4,FALSE)</f>
        <v>1575000</v>
      </c>
      <c r="AF34" s="50" t="str">
        <f>+AF$21</f>
        <v>Circuito integrado MC9508JM</v>
      </c>
      <c r="AG34" s="50"/>
      <c r="AH34" s="51">
        <f>+AH35*VLOOKUP(AF21,$E$40:$I$144,4,FALSE)</f>
        <v>51510</v>
      </c>
      <c r="AI34" s="50" t="str">
        <f>+AI$21</f>
        <v>Capacitor electrolitico de 0,1 uf</v>
      </c>
      <c r="AJ34" s="50"/>
      <c r="AK34" s="51">
        <f>+AK35*VLOOKUP(AI21,$E$40:$I$144,4,FALSE)</f>
        <v>470339.99999999994</v>
      </c>
      <c r="AL34" s="50" t="str">
        <f>+AL$21</f>
        <v>Capacitor electrolitico de 10 uf</v>
      </c>
      <c r="AM34" s="50"/>
      <c r="AN34" s="51">
        <f>+AN35*VLOOKUP(AL21,$E$40:$I$144,4,FALSE)</f>
        <v>52259.999999999993</v>
      </c>
      <c r="AO34" s="50" t="str">
        <f>+AO$21</f>
        <v>Capacitor electrolitico de 22pf</v>
      </c>
      <c r="AP34" s="50"/>
      <c r="AQ34" s="51">
        <f>+AQ35*VLOOKUP(AO21,$E$40:$I$144,4,FALSE)</f>
        <v>104519.99999999999</v>
      </c>
      <c r="AR34" s="50" t="str">
        <f>+AR$21</f>
        <v>Circuito integrado bluetooth</v>
      </c>
      <c r="AS34" s="50"/>
      <c r="AT34" s="51">
        <f>+AT35*VLOOKUP(AR21,$E$40:$I$144,4,FALSE)</f>
        <v>51510</v>
      </c>
      <c r="AU34" s="50" t="str">
        <f>+AU$21</f>
        <v>Circuito integrado motor</v>
      </c>
      <c r="AV34" s="50"/>
      <c r="AW34" s="51">
        <f>+AW35*VLOOKUP(AU21,$E$40:$I$144,4,FALSE)</f>
        <v>51510</v>
      </c>
      <c r="AX34" s="50" t="str">
        <f>+AX$21</f>
        <v>Jumpers</v>
      </c>
      <c r="AY34" s="50"/>
      <c r="AZ34" s="51">
        <f>+AZ35*VLOOKUP(AX21,$E$40:$I$144,4,FALSE)</f>
        <v>1167307.4999999998</v>
      </c>
      <c r="BA34" s="50" t="str">
        <f>+BA$21</f>
        <v>Transistor mosfet N</v>
      </c>
      <c r="BB34" s="50"/>
      <c r="BC34" s="51">
        <f>+BC35*VLOOKUP(BA21,$E$40:$I$144,4,FALSE)</f>
        <v>153011.24999999994</v>
      </c>
      <c r="BD34" s="50" t="str">
        <f>+BD$21</f>
        <v>Cristal de 12MHz</v>
      </c>
      <c r="BE34" s="50"/>
      <c r="BF34" s="51">
        <f>+BF35*VLOOKUP(BD21,$E$40:$I$144,4,FALSE)</f>
        <v>50500</v>
      </c>
      <c r="BG34" s="50" t="str">
        <f>+BG$21</f>
        <v>Resistencia 10M</v>
      </c>
      <c r="BH34" s="50"/>
      <c r="BI34" s="51">
        <f>+BI35*VLOOKUP(BG21,$E$40:$I$144,4,FALSE)</f>
        <v>204014.99999999994</v>
      </c>
      <c r="BJ34" s="50" t="str">
        <f>+BJ$21</f>
        <v>Resistencia 10k</v>
      </c>
      <c r="BK34" s="50"/>
      <c r="BL34" s="51">
        <f>+BL35*VLOOKUP(BJ21,$E$40:$I$144,4,FALSE)</f>
        <v>714052.49999999977</v>
      </c>
      <c r="BM34" s="50" t="str">
        <f>+BM$21</f>
        <v>Resistencia de 240 ohms</v>
      </c>
      <c r="BN34" s="50"/>
      <c r="BO34" s="51">
        <f>+BO35*VLOOKUP(BM21,$E$40:$I$144,4,FALSE)</f>
        <v>51003.749999999985</v>
      </c>
      <c r="BP34" s="50" t="str">
        <f>+BP$21</f>
        <v>Conector de 3 term</v>
      </c>
      <c r="BQ34" s="50"/>
      <c r="BR34" s="51">
        <f>+BR35*VLOOKUP(BP21,$E$40:$I$144,4,FALSE)</f>
        <v>309060</v>
      </c>
      <c r="BS34" s="50" t="str">
        <f>+BS$21</f>
        <v>Plaqueta impresa</v>
      </c>
      <c r="BT34" s="50"/>
      <c r="BU34" s="51">
        <f>+BU35*VLOOKUP(BS21,$E$40:$I$144,4,FALSE)</f>
        <v>52025.1</v>
      </c>
      <c r="BV34" s="50" t="str">
        <f>+BV$21</f>
        <v>Circuito integrado MC9S08SH8</v>
      </c>
      <c r="BW34" s="50"/>
      <c r="BX34" s="51">
        <f>+BX35*VLOOKUP(BV21,$E$40:$I$144,4,FALSE)</f>
        <v>51510</v>
      </c>
      <c r="BY34" s="50" t="str">
        <f>+BY$21</f>
        <v>Circuito integrado DIP8</v>
      </c>
      <c r="BZ34" s="50"/>
      <c r="CA34" s="51">
        <f>+CA35*VLOOKUP(BY21,$E$40:$I$144,4,FALSE)</f>
        <v>51510</v>
      </c>
      <c r="CB34" s="50" t="str">
        <f>+CB$21</f>
        <v>Jack 3,5mm</v>
      </c>
      <c r="CC34" s="50"/>
      <c r="CD34" s="51">
        <f>+CD35*VLOOKUP(CB21,$E$40:$I$144,4,FALSE)</f>
        <v>104030</v>
      </c>
      <c r="CE34" s="50" t="str">
        <f>+CE$21</f>
        <v>Pulsador</v>
      </c>
      <c r="CF34" s="50"/>
      <c r="CG34" s="51">
        <f>+CG35*VLOOKUP(CE21,$E$40:$I$144,4,FALSE)</f>
        <v>51510</v>
      </c>
      <c r="CH34" s="50" t="str">
        <f>+CH$21</f>
        <v>Circuito integrado amplificador operacional TL082D</v>
      </c>
      <c r="CI34" s="50"/>
      <c r="CJ34" s="51">
        <f>+CJ35*VLOOKUP(CH21,$E$40:$I$144,4,FALSE)</f>
        <v>51510</v>
      </c>
      <c r="CK34" s="50" t="str">
        <f>+CK$21</f>
        <v>Circuito integrado MC6002</v>
      </c>
      <c r="CL34" s="50"/>
      <c r="CM34" s="51">
        <f>+CM35*VLOOKUP(CK21,$E$40:$I$144,4,FALSE)</f>
        <v>103020</v>
      </c>
      <c r="CN34" s="50" t="str">
        <f>+CN$21</f>
        <v>Circuito integrado LM393P</v>
      </c>
      <c r="CO34" s="50"/>
      <c r="CP34" s="51">
        <f>+CP35*VLOOKUP(CN21,$E$40:$I$144,4,FALSE)</f>
        <v>51510</v>
      </c>
      <c r="CQ34" s="50" t="str">
        <f>+CQ$21</f>
        <v>Diodo 1N4148</v>
      </c>
      <c r="CR34" s="50"/>
      <c r="CS34" s="51">
        <f>+CS35*VLOOKUP(CQ21,$E$40:$I$144,4,FALSE)</f>
        <v>50500</v>
      </c>
      <c r="CT34" s="50" t="str">
        <f>+CT$21</f>
        <v>Resistencia de 4k7</v>
      </c>
      <c r="CU34" s="50"/>
      <c r="CV34" s="51">
        <f>+CV35*VLOOKUP(CT21,$E$40:$I$144,4,FALSE)</f>
        <v>102007.49999999997</v>
      </c>
      <c r="CW34" s="50" t="str">
        <f>+CW$21</f>
        <v>Diodos led</v>
      </c>
      <c r="CX34" s="50"/>
      <c r="CY34" s="51">
        <f>+CY35*VLOOKUP(CW21,$E$40:$I$144,4,FALSE)</f>
        <v>353500</v>
      </c>
      <c r="CZ34" s="50" t="str">
        <f>+CZ$21</f>
        <v>Resistencia de 330 ohm</v>
      </c>
      <c r="DA34" s="50"/>
      <c r="DB34" s="51">
        <f>+DB35*VLOOKUP(CZ21,$E$40:$I$144,4,FALSE)</f>
        <v>153011.24999999994</v>
      </c>
      <c r="DC34" s="50" t="str">
        <f>+DC$21</f>
        <v>Resistencia de 47k</v>
      </c>
      <c r="DD34" s="50"/>
      <c r="DE34" s="51">
        <f>+DE35*VLOOKUP(DC21,$E$40:$I$144,4,FALSE)</f>
        <v>102007.49999999997</v>
      </c>
      <c r="DF34" s="50" t="str">
        <f>+DF$21</f>
        <v>Resistencia de 15k</v>
      </c>
      <c r="DG34" s="50"/>
      <c r="DH34" s="51">
        <f>+DH35*VLOOKUP(DF21,$E$40:$I$144,4,FALSE)</f>
        <v>51003.749999999985</v>
      </c>
      <c r="DI34" s="50" t="str">
        <f>+DI$21</f>
        <v>Resistencia de 100R</v>
      </c>
      <c r="DJ34" s="50"/>
      <c r="DK34" s="51">
        <f>+DK35*VLOOKUP(DI21,$E$40:$I$144,4,FALSE)</f>
        <v>102007.49999999997</v>
      </c>
      <c r="DL34" s="50" t="str">
        <f>+DL$21</f>
        <v>Resistencia de 180R</v>
      </c>
      <c r="DM34" s="50"/>
      <c r="DN34" s="51">
        <f>+DN35*VLOOKUP(DL21,$E$40:$I$144,4,FALSE)</f>
        <v>51003.749999999985</v>
      </c>
      <c r="DO34" s="50" t="str">
        <f>+DO$21</f>
        <v>Capacitor electrolitico de 1 uf</v>
      </c>
      <c r="DP34" s="50"/>
      <c r="DQ34" s="51">
        <f>+DQ35*VLOOKUP(DO21,$E$40:$I$144,4,FALSE)</f>
        <v>209039.99999999997</v>
      </c>
    </row>
    <row r="35" spans="1:121" x14ac:dyDescent="0.25">
      <c r="A35" s="48" t="s">
        <v>98</v>
      </c>
      <c r="B35" s="49" t="str">
        <f>+B$21</f>
        <v>Baquelita</v>
      </c>
      <c r="C35" s="49"/>
      <c r="D35" s="52">
        <f>+IF(D27&gt;=D23,D27,D23)</f>
        <v>51510</v>
      </c>
      <c r="E35" s="49" t="str">
        <f>+E$21</f>
        <v>Plaqueta de cobre</v>
      </c>
      <c r="F35" s="49"/>
      <c r="G35" s="52">
        <f>+IF(G27&gt;=G23,G27,G23)</f>
        <v>52546.651627499989</v>
      </c>
      <c r="H35" s="49" t="str">
        <f>+H$21</f>
        <v>Bateria</v>
      </c>
      <c r="I35" s="49"/>
      <c r="J35" s="52">
        <f>+IF(J27&gt;=J23,J27,J23)</f>
        <v>50500</v>
      </c>
      <c r="K35" s="49" t="str">
        <f>+K$21</f>
        <v>Cargador</v>
      </c>
      <c r="L35" s="49"/>
      <c r="M35" s="52">
        <f>+IF(M27&gt;=M23,M27,M23)</f>
        <v>50500</v>
      </c>
      <c r="N35" s="49" t="str">
        <f>+N$21</f>
        <v>Manual</v>
      </c>
      <c r="O35" s="49"/>
      <c r="P35" s="52">
        <f>+IF(P27&gt;=P23,P27,P23)</f>
        <v>52015</v>
      </c>
      <c r="Q35" s="49" t="str">
        <f>+Q$21</f>
        <v>Bolsa Plastica</v>
      </c>
      <c r="R35" s="49"/>
      <c r="S35" s="52">
        <f>+IF(S27&gt;=S23,S27,S23)</f>
        <v>51000</v>
      </c>
      <c r="T35" s="49" t="str">
        <f>+T$21</f>
        <v>Caja Carton</v>
      </c>
      <c r="U35" s="49"/>
      <c r="V35" s="52">
        <f>+IF(V27&gt;=V23,V27,V23)</f>
        <v>50500</v>
      </c>
      <c r="W35" s="49" t="str">
        <f>+W$21</f>
        <v>Tornillos</v>
      </c>
      <c r="X35" s="49"/>
      <c r="Y35" s="52">
        <f>+IF(Y27&gt;=Y23,Y27,Y23)</f>
        <v>50752.499999999993</v>
      </c>
      <c r="Z35" s="49" t="str">
        <f>+Z$21</f>
        <v>Cable</v>
      </c>
      <c r="AA35" s="49"/>
      <c r="AB35" s="52">
        <f>+IF(AB27&gt;=AB23,AB27,AB23)</f>
        <v>51500</v>
      </c>
      <c r="AC35" s="49" t="str">
        <f>+AC$21</f>
        <v>Pegamento</v>
      </c>
      <c r="AD35" s="49"/>
      <c r="AE35" s="52">
        <f>+IF(AE27&gt;=AE23,AE27,AE23)</f>
        <v>52500</v>
      </c>
      <c r="AF35" s="49" t="str">
        <f>+AF$21</f>
        <v>Circuito integrado MC9508JM</v>
      </c>
      <c r="AG35" s="49"/>
      <c r="AH35" s="52">
        <f>+IF(AH27&gt;=AH23,AH27,AH23)</f>
        <v>51510</v>
      </c>
      <c r="AI35" s="49" t="str">
        <f>+AI$21</f>
        <v>Capacitor electrolitico de 0,1 uf</v>
      </c>
      <c r="AJ35" s="49"/>
      <c r="AK35" s="52">
        <f>+IF(AK27&gt;=AK23,AK27,AK23)</f>
        <v>52259.999999999993</v>
      </c>
      <c r="AL35" s="49" t="str">
        <f>+AL$21</f>
        <v>Capacitor electrolitico de 10 uf</v>
      </c>
      <c r="AM35" s="49"/>
      <c r="AN35" s="52">
        <f>+IF(AN27&gt;=AN23,AN27,AN23)</f>
        <v>52259.999999999993</v>
      </c>
      <c r="AO35" s="49" t="str">
        <f>+AO$21</f>
        <v>Capacitor electrolitico de 22pf</v>
      </c>
      <c r="AP35" s="49"/>
      <c r="AQ35" s="52">
        <f>+IF(AQ27&gt;=AQ23,AQ27,AQ23)</f>
        <v>52259.999999999993</v>
      </c>
      <c r="AR35" s="49" t="str">
        <f>+AR$21</f>
        <v>Circuito integrado bluetooth</v>
      </c>
      <c r="AS35" s="49"/>
      <c r="AT35" s="52">
        <f>+IF(AT27&gt;=AT23,AT27,AT23)</f>
        <v>51510</v>
      </c>
      <c r="AU35" s="49" t="str">
        <f>+AU$21</f>
        <v>Circuito integrado motor</v>
      </c>
      <c r="AV35" s="49"/>
      <c r="AW35" s="52">
        <f>+IF(AW27&gt;=AW23,AW27,AW23)</f>
        <v>51510</v>
      </c>
      <c r="AX35" s="49" t="str">
        <f>+AX$21</f>
        <v>Jumpers</v>
      </c>
      <c r="AY35" s="49"/>
      <c r="AZ35" s="52">
        <f>+IF(AZ27&gt;=AZ23,AZ27,AZ23)</f>
        <v>50752.499999999993</v>
      </c>
      <c r="BA35" s="49" t="str">
        <f>+BA$21</f>
        <v>Transistor mosfet N</v>
      </c>
      <c r="BB35" s="49"/>
      <c r="BC35" s="52">
        <f>+IF(BC27&gt;=BC23,BC27,BC23)</f>
        <v>51003.749999999985</v>
      </c>
      <c r="BD35" s="49" t="str">
        <f>+BD$21</f>
        <v>Cristal de 12MHz</v>
      </c>
      <c r="BE35" s="49"/>
      <c r="BF35" s="52">
        <f>+IF(BF27&gt;=BF23,BF27,BF23)</f>
        <v>50500</v>
      </c>
      <c r="BG35" s="49" t="str">
        <f>+BG$21</f>
        <v>Resistencia 10M</v>
      </c>
      <c r="BH35" s="49"/>
      <c r="BI35" s="52">
        <f>+IF(BI27&gt;=BI23,BI27,BI23)</f>
        <v>51003.749999999985</v>
      </c>
      <c r="BJ35" s="49" t="str">
        <f>+BJ$21</f>
        <v>Resistencia 10k</v>
      </c>
      <c r="BK35" s="49"/>
      <c r="BL35" s="52">
        <f>+IF(BL27&gt;=BL23,BL27,BL23)</f>
        <v>51003.749999999985</v>
      </c>
      <c r="BM35" s="49" t="str">
        <f>+BM$21</f>
        <v>Resistencia de 240 ohms</v>
      </c>
      <c r="BN35" s="49"/>
      <c r="BO35" s="52">
        <f>+IF(BO27&gt;=BO23,BO27,BO23)</f>
        <v>51003.749999999985</v>
      </c>
      <c r="BP35" s="49" t="str">
        <f>+BP$21</f>
        <v>Conector de 3 term</v>
      </c>
      <c r="BQ35" s="49"/>
      <c r="BR35" s="52">
        <f>+IF(BR27&gt;=BR23,BR27,BR23)</f>
        <v>51510</v>
      </c>
      <c r="BS35" s="49" t="str">
        <f>+BS$21</f>
        <v>Plaqueta impresa</v>
      </c>
      <c r="BT35" s="49"/>
      <c r="BU35" s="52">
        <f>+IF(BU27&gt;=BU23,BU27,BU23)</f>
        <v>52025.1</v>
      </c>
      <c r="BV35" s="49" t="str">
        <f>+BV$21</f>
        <v>Circuito integrado MC9S08SH8</v>
      </c>
      <c r="BW35" s="49"/>
      <c r="BX35" s="52">
        <f>+IF(BX27&gt;=BX23,BX27,BX23)</f>
        <v>51510</v>
      </c>
      <c r="BY35" s="49" t="str">
        <f>+BY$21</f>
        <v>Circuito integrado DIP8</v>
      </c>
      <c r="BZ35" s="49"/>
      <c r="CA35" s="52">
        <f>+IF(CA27&gt;=CA23,CA27,CA23)</f>
        <v>51510</v>
      </c>
      <c r="CB35" s="49" t="str">
        <f>+CB$21</f>
        <v>Jack 3,5mm</v>
      </c>
      <c r="CC35" s="49"/>
      <c r="CD35" s="52">
        <f>+IF(CD27&gt;=CD23,CD27,CD23)</f>
        <v>52015</v>
      </c>
      <c r="CE35" s="49" t="str">
        <f>+CE$21</f>
        <v>Pulsador</v>
      </c>
      <c r="CF35" s="49"/>
      <c r="CG35" s="52">
        <f>+IF(CG27&gt;=CG23,CG27,CG23)</f>
        <v>51510</v>
      </c>
      <c r="CH35" s="49" t="str">
        <f>+CH$21</f>
        <v>Circuito integrado amplificador operacional TL082D</v>
      </c>
      <c r="CI35" s="49"/>
      <c r="CJ35" s="52">
        <f>+IF(CJ27&gt;=CJ23,CJ27,CJ23)</f>
        <v>51510</v>
      </c>
      <c r="CK35" s="49" t="str">
        <f>+CK$21</f>
        <v>Circuito integrado MC6002</v>
      </c>
      <c r="CL35" s="49"/>
      <c r="CM35" s="52">
        <f>+IF(CM27&gt;=CM23,CM27,CM23)</f>
        <v>51510</v>
      </c>
      <c r="CN35" s="49" t="str">
        <f>+CN$21</f>
        <v>Circuito integrado LM393P</v>
      </c>
      <c r="CO35" s="49"/>
      <c r="CP35" s="52">
        <f>+IF(CP27&gt;=CP23,CP27,CP23)</f>
        <v>51510</v>
      </c>
      <c r="CQ35" s="49" t="str">
        <f>+CQ$21</f>
        <v>Diodo 1N4148</v>
      </c>
      <c r="CR35" s="49"/>
      <c r="CS35" s="52">
        <f>+IF(CS27&gt;=CS23,CS27,CS23)</f>
        <v>50500</v>
      </c>
      <c r="CT35" s="49" t="str">
        <f>+CT$21</f>
        <v>Resistencia de 4k7</v>
      </c>
      <c r="CU35" s="49"/>
      <c r="CV35" s="52">
        <f>+IF(CV27&gt;=CV23,CV27,CV23)</f>
        <v>51003.749999999985</v>
      </c>
      <c r="CW35" s="49" t="str">
        <f>+CW$21</f>
        <v>Diodos led</v>
      </c>
      <c r="CX35" s="49"/>
      <c r="CY35" s="52">
        <f>+IF(CY27&gt;=CY23,CY27,CY23)</f>
        <v>50500</v>
      </c>
      <c r="CZ35" s="49" t="str">
        <f>+CZ$21</f>
        <v>Resistencia de 330 ohm</v>
      </c>
      <c r="DA35" s="49"/>
      <c r="DB35" s="52">
        <f>+IF(DB27&gt;=DB23,DB27,DB23)</f>
        <v>51003.749999999985</v>
      </c>
      <c r="DC35" s="49" t="str">
        <f>+DC$21</f>
        <v>Resistencia de 47k</v>
      </c>
      <c r="DD35" s="49"/>
      <c r="DE35" s="52">
        <f>+IF(DE27&gt;=DE23,DE27,DE23)</f>
        <v>51003.749999999985</v>
      </c>
      <c r="DF35" s="49" t="str">
        <f>+DF$21</f>
        <v>Resistencia de 15k</v>
      </c>
      <c r="DG35" s="49"/>
      <c r="DH35" s="52">
        <f>+IF(DH27&gt;=DH23,DH27,DH23)</f>
        <v>51003.749999999985</v>
      </c>
      <c r="DI35" s="49" t="str">
        <f>+DI$21</f>
        <v>Resistencia de 100R</v>
      </c>
      <c r="DJ35" s="49"/>
      <c r="DK35" s="52">
        <f>+IF(DK27&gt;=DK23,DK27,DK23)</f>
        <v>51003.749999999985</v>
      </c>
      <c r="DL35" s="49" t="str">
        <f>+DL$21</f>
        <v>Resistencia de 180R</v>
      </c>
      <c r="DM35" s="49"/>
      <c r="DN35" s="52">
        <f>+IF(DN27&gt;=DN23,DN27,DN23)</f>
        <v>51003.749999999985</v>
      </c>
      <c r="DO35" s="49" t="str">
        <f>+DO$21</f>
        <v>Capacitor electrolitico de 1 uf</v>
      </c>
      <c r="DP35" s="49"/>
      <c r="DQ35" s="52">
        <f>+IF(DQ27&gt;=DQ23,DQ27,DQ23)</f>
        <v>52259.999999999993</v>
      </c>
    </row>
    <row r="36" spans="1:121" s="58" customFormat="1" x14ac:dyDescent="0.25">
      <c r="A36" s="148" t="s">
        <v>242</v>
      </c>
      <c r="B36" s="149"/>
      <c r="C36" s="149"/>
      <c r="D36" s="150">
        <f>+B32</f>
        <v>0</v>
      </c>
      <c r="E36" s="149"/>
      <c r="F36" s="149"/>
      <c r="G36" s="150">
        <f>+E32</f>
        <v>0</v>
      </c>
      <c r="H36" s="149"/>
      <c r="I36" s="149"/>
      <c r="J36" s="150">
        <f>+H32</f>
        <v>0</v>
      </c>
      <c r="K36" s="149"/>
      <c r="L36" s="149"/>
      <c r="M36" s="150">
        <f>+K32</f>
        <v>0</v>
      </c>
      <c r="N36" s="149"/>
      <c r="O36" s="149"/>
      <c r="P36" s="150">
        <f>+N32</f>
        <v>0</v>
      </c>
      <c r="Q36" s="149"/>
      <c r="R36" s="149"/>
      <c r="S36" s="150">
        <f>+Q32</f>
        <v>0</v>
      </c>
      <c r="T36" s="149"/>
      <c r="U36" s="149"/>
      <c r="V36" s="150">
        <f>+T32</f>
        <v>0</v>
      </c>
      <c r="W36" s="149"/>
      <c r="X36" s="149"/>
      <c r="Y36" s="150">
        <f>+W32</f>
        <v>0</v>
      </c>
      <c r="Z36" s="149"/>
      <c r="AA36" s="149"/>
      <c r="AB36" s="150">
        <f>+Z32</f>
        <v>500</v>
      </c>
      <c r="AC36" s="149"/>
      <c r="AD36" s="149"/>
      <c r="AE36" s="150">
        <f>+AC32</f>
        <v>0</v>
      </c>
      <c r="AF36" s="149"/>
      <c r="AG36" s="149"/>
      <c r="AH36" s="150">
        <f>+AF32</f>
        <v>0</v>
      </c>
      <c r="AI36" s="149"/>
      <c r="AJ36" s="149"/>
      <c r="AK36" s="150">
        <f>+AI32</f>
        <v>502.49999999999994</v>
      </c>
      <c r="AL36" s="149"/>
      <c r="AM36" s="149"/>
      <c r="AN36" s="150">
        <f>+AL32</f>
        <v>502.49999999999994</v>
      </c>
      <c r="AO36" s="149"/>
      <c r="AP36" s="149"/>
      <c r="AQ36" s="150">
        <f>+AO32</f>
        <v>502.49999999999994</v>
      </c>
      <c r="AR36" s="149"/>
      <c r="AS36" s="149"/>
      <c r="AT36" s="150">
        <f>+AR32</f>
        <v>0</v>
      </c>
      <c r="AU36" s="149"/>
      <c r="AV36" s="149"/>
      <c r="AW36" s="150">
        <f>+AU32</f>
        <v>0</v>
      </c>
      <c r="AX36" s="149"/>
      <c r="AY36" s="149"/>
      <c r="AZ36" s="150">
        <f>+AX32</f>
        <v>0</v>
      </c>
      <c r="BA36" s="149"/>
      <c r="BB36" s="149"/>
      <c r="BC36" s="150">
        <f>+BA32</f>
        <v>502.49999999999994</v>
      </c>
      <c r="BD36" s="149"/>
      <c r="BE36" s="149"/>
      <c r="BF36" s="150">
        <f>+BD32</f>
        <v>0</v>
      </c>
      <c r="BG36" s="149"/>
      <c r="BH36" s="149"/>
      <c r="BI36" s="150">
        <f>+BG32</f>
        <v>502.49999999999994</v>
      </c>
      <c r="BJ36" s="149"/>
      <c r="BK36" s="149"/>
      <c r="BL36" s="150">
        <f>+BJ32</f>
        <v>502.49999999999994</v>
      </c>
      <c r="BM36" s="149"/>
      <c r="BN36" s="149"/>
      <c r="BO36" s="150">
        <f>+BM32</f>
        <v>502.49999999999994</v>
      </c>
      <c r="BP36" s="149"/>
      <c r="BQ36" s="149"/>
      <c r="BR36" s="150">
        <f>+BP32</f>
        <v>500</v>
      </c>
      <c r="BS36" s="149"/>
      <c r="BT36" s="149"/>
      <c r="BU36" s="150">
        <f>+BS32</f>
        <v>0</v>
      </c>
      <c r="BV36" s="149"/>
      <c r="BW36" s="149"/>
      <c r="BX36" s="150">
        <f>+BV32</f>
        <v>0</v>
      </c>
      <c r="BY36" s="149"/>
      <c r="BZ36" s="149"/>
      <c r="CA36" s="150">
        <f>+BY32</f>
        <v>0</v>
      </c>
      <c r="CB36" s="149"/>
      <c r="CC36" s="149"/>
      <c r="CD36" s="150">
        <f>+CB32</f>
        <v>0</v>
      </c>
      <c r="CE36" s="149"/>
      <c r="CF36" s="149"/>
      <c r="CG36" s="150">
        <f>+CE32</f>
        <v>0</v>
      </c>
      <c r="CH36" s="149"/>
      <c r="CI36" s="149"/>
      <c r="CJ36" s="150">
        <f>+CH32</f>
        <v>0</v>
      </c>
      <c r="CK36" s="149"/>
      <c r="CL36" s="149"/>
      <c r="CM36" s="150">
        <f>+CK32</f>
        <v>0</v>
      </c>
      <c r="CN36" s="149"/>
      <c r="CO36" s="149"/>
      <c r="CP36" s="150">
        <f>+CN32</f>
        <v>0</v>
      </c>
      <c r="CQ36" s="149"/>
      <c r="CR36" s="149"/>
      <c r="CS36" s="150">
        <f>+CQ32</f>
        <v>0</v>
      </c>
      <c r="CT36" s="149"/>
      <c r="CU36" s="149"/>
      <c r="CV36" s="150">
        <f>+CT32</f>
        <v>502.49999999999994</v>
      </c>
      <c r="CW36" s="149"/>
      <c r="CX36" s="149"/>
      <c r="CY36" s="150">
        <f>+CW32</f>
        <v>0</v>
      </c>
      <c r="CZ36" s="149"/>
      <c r="DA36" s="149"/>
      <c r="DB36" s="150">
        <f>+CZ32</f>
        <v>502.49999999999994</v>
      </c>
      <c r="DC36" s="149"/>
      <c r="DD36" s="149"/>
      <c r="DE36" s="150">
        <f>+DC32</f>
        <v>502.49999999999994</v>
      </c>
      <c r="DF36" s="149"/>
      <c r="DG36" s="149"/>
      <c r="DH36" s="150">
        <f>+DF32</f>
        <v>502.49999999999994</v>
      </c>
      <c r="DI36" s="149"/>
      <c r="DJ36" s="149"/>
      <c r="DK36" s="150">
        <f>+DI32</f>
        <v>502.49999999999994</v>
      </c>
      <c r="DL36" s="149"/>
      <c r="DM36" s="149"/>
      <c r="DN36" s="150">
        <f>+DL32</f>
        <v>502.49999999999994</v>
      </c>
      <c r="DO36" s="149"/>
      <c r="DP36" s="149"/>
      <c r="DQ36" s="150">
        <f>+DO32</f>
        <v>502.49999999999994</v>
      </c>
    </row>
    <row r="37" spans="1:121" s="58" customFormat="1" x14ac:dyDescent="0.25">
      <c r="A37" s="148" t="s">
        <v>243</v>
      </c>
      <c r="B37" s="149"/>
      <c r="C37" s="149"/>
      <c r="D37" s="150">
        <f>+C32</f>
        <v>1510</v>
      </c>
      <c r="E37" s="149"/>
      <c r="F37" s="149"/>
      <c r="G37" s="150">
        <f>+F32</f>
        <v>2546.6516274999999</v>
      </c>
      <c r="H37" s="149"/>
      <c r="I37" s="149"/>
      <c r="J37" s="150">
        <f>+I32</f>
        <v>500</v>
      </c>
      <c r="K37" s="149"/>
      <c r="L37" s="149"/>
      <c r="M37" s="150">
        <f>+L32</f>
        <v>500</v>
      </c>
      <c r="N37" s="149"/>
      <c r="O37" s="149"/>
      <c r="P37" s="150">
        <f>+O32</f>
        <v>2015</v>
      </c>
      <c r="Q37" s="149"/>
      <c r="R37" s="149"/>
      <c r="S37" s="150">
        <f>+R32</f>
        <v>1000</v>
      </c>
      <c r="T37" s="149"/>
      <c r="U37" s="149"/>
      <c r="V37" s="150">
        <f>+U32</f>
        <v>500</v>
      </c>
      <c r="W37" s="149"/>
      <c r="X37" s="149"/>
      <c r="Y37" s="150">
        <f>+X32</f>
        <v>752.5</v>
      </c>
      <c r="Z37" s="149"/>
      <c r="AA37" s="149"/>
      <c r="AB37" s="150">
        <f>+AA32</f>
        <v>1000</v>
      </c>
      <c r="AC37" s="149"/>
      <c r="AD37" s="149"/>
      <c r="AE37" s="150">
        <f>+AD32</f>
        <v>2500</v>
      </c>
      <c r="AF37" s="149"/>
      <c r="AG37" s="149"/>
      <c r="AH37" s="150">
        <f>+AG32</f>
        <v>1510</v>
      </c>
      <c r="AI37" s="149"/>
      <c r="AJ37" s="149"/>
      <c r="AK37" s="150">
        <f>+AJ32</f>
        <v>1757.4999999999998</v>
      </c>
      <c r="AL37" s="149"/>
      <c r="AM37" s="149"/>
      <c r="AN37" s="150">
        <f>+AM32</f>
        <v>1757.4999999999998</v>
      </c>
      <c r="AO37" s="149"/>
      <c r="AP37" s="149"/>
      <c r="AQ37" s="150">
        <f>+AP32</f>
        <v>1757.4999999999998</v>
      </c>
      <c r="AR37" s="149"/>
      <c r="AS37" s="149"/>
      <c r="AT37" s="150">
        <f>+AS32</f>
        <v>1510</v>
      </c>
      <c r="AU37" s="149"/>
      <c r="AV37" s="149"/>
      <c r="AW37" s="150">
        <f>+AV32</f>
        <v>1510</v>
      </c>
      <c r="AX37" s="149"/>
      <c r="AY37" s="149"/>
      <c r="AZ37" s="150">
        <f>+AY32</f>
        <v>752.5</v>
      </c>
      <c r="BA37" s="149"/>
      <c r="BB37" s="149"/>
      <c r="BC37" s="150">
        <f>+BB32</f>
        <v>501.25</v>
      </c>
      <c r="BD37" s="149"/>
      <c r="BE37" s="149"/>
      <c r="BF37" s="150">
        <f>+BE32</f>
        <v>500</v>
      </c>
      <c r="BG37" s="149"/>
      <c r="BH37" s="149"/>
      <c r="BI37" s="150">
        <f>+BH32</f>
        <v>501.25</v>
      </c>
      <c r="BJ37" s="149"/>
      <c r="BK37" s="149"/>
      <c r="BL37" s="150">
        <f>+BK32</f>
        <v>501.25</v>
      </c>
      <c r="BM37" s="149"/>
      <c r="BN37" s="149"/>
      <c r="BO37" s="150">
        <f>+BN32</f>
        <v>501.25</v>
      </c>
      <c r="BP37" s="149"/>
      <c r="BQ37" s="149"/>
      <c r="BR37" s="150">
        <f>+BQ32</f>
        <v>1010</v>
      </c>
      <c r="BS37" s="149"/>
      <c r="BT37" s="149"/>
      <c r="BU37" s="150">
        <f>+BT32</f>
        <v>2025.1</v>
      </c>
      <c r="BV37" s="149"/>
      <c r="BW37" s="149"/>
      <c r="BX37" s="150">
        <f>+BW32</f>
        <v>1510</v>
      </c>
      <c r="BY37" s="149"/>
      <c r="BZ37" s="149"/>
      <c r="CA37" s="150">
        <f>+BZ32</f>
        <v>1510</v>
      </c>
      <c r="CB37" s="149"/>
      <c r="CC37" s="149"/>
      <c r="CD37" s="150">
        <f>+CC32</f>
        <v>2015</v>
      </c>
      <c r="CE37" s="149"/>
      <c r="CF37" s="149"/>
      <c r="CG37" s="150">
        <f>+CF32</f>
        <v>1510</v>
      </c>
      <c r="CH37" s="149"/>
      <c r="CI37" s="149"/>
      <c r="CJ37" s="150">
        <f>+CI32</f>
        <v>1510</v>
      </c>
      <c r="CK37" s="149"/>
      <c r="CL37" s="149"/>
      <c r="CM37" s="150">
        <f>+CL32</f>
        <v>1510</v>
      </c>
      <c r="CN37" s="149"/>
      <c r="CO37" s="149"/>
      <c r="CP37" s="150">
        <f>+CO32</f>
        <v>1510</v>
      </c>
      <c r="CQ37" s="149"/>
      <c r="CR37" s="149"/>
      <c r="CS37" s="150">
        <f>+CR32</f>
        <v>500</v>
      </c>
      <c r="CT37" s="149"/>
      <c r="CU37" s="149"/>
      <c r="CV37" s="150">
        <f>+CU32</f>
        <v>501.25</v>
      </c>
      <c r="CW37" s="149"/>
      <c r="CX37" s="149"/>
      <c r="CY37" s="150">
        <f>+CX32</f>
        <v>500</v>
      </c>
      <c r="CZ37" s="149"/>
      <c r="DA37" s="149"/>
      <c r="DB37" s="150">
        <f>+DA32</f>
        <v>501.25</v>
      </c>
      <c r="DC37" s="149"/>
      <c r="DD37" s="149"/>
      <c r="DE37" s="150">
        <f>+DD32</f>
        <v>501.25</v>
      </c>
      <c r="DF37" s="149"/>
      <c r="DG37" s="149"/>
      <c r="DH37" s="150">
        <f>+DG32</f>
        <v>501.25</v>
      </c>
      <c r="DI37" s="149"/>
      <c r="DJ37" s="149"/>
      <c r="DK37" s="150">
        <f>+DJ32</f>
        <v>501.25</v>
      </c>
      <c r="DL37" s="149"/>
      <c r="DM37" s="149"/>
      <c r="DN37" s="150">
        <f>+DM32</f>
        <v>501.25</v>
      </c>
      <c r="DO37" s="149"/>
      <c r="DP37" s="149"/>
      <c r="DQ37" s="150">
        <f>+DP32</f>
        <v>1757.4999999999998</v>
      </c>
    </row>
    <row r="38" spans="1:121" ht="15.75" thickBot="1" x14ac:dyDescent="0.3">
      <c r="A38" s="46" t="s">
        <v>99</v>
      </c>
      <c r="B38" s="47" t="str">
        <f>+B$21</f>
        <v>Baquelita</v>
      </c>
      <c r="C38" s="47"/>
      <c r="D38" s="53">
        <f>+D32</f>
        <v>50000</v>
      </c>
      <c r="E38" s="47" t="str">
        <f>+E$21</f>
        <v>Plaqueta de cobre</v>
      </c>
      <c r="F38" s="47"/>
      <c r="G38" s="53">
        <f>+G32</f>
        <v>50000</v>
      </c>
      <c r="H38" s="47" t="str">
        <f>+H$21</f>
        <v>Bateria</v>
      </c>
      <c r="I38" s="47"/>
      <c r="J38" s="53">
        <f>+J32</f>
        <v>50000</v>
      </c>
      <c r="K38" s="47" t="str">
        <f>+K$21</f>
        <v>Cargador</v>
      </c>
      <c r="L38" s="47"/>
      <c r="M38" s="53">
        <f>+M32</f>
        <v>50000</v>
      </c>
      <c r="N38" s="47" t="str">
        <f>+N$21</f>
        <v>Manual</v>
      </c>
      <c r="O38" s="47"/>
      <c r="P38" s="53">
        <f>+P32</f>
        <v>50000</v>
      </c>
      <c r="Q38" s="47" t="str">
        <f>+Q$21</f>
        <v>Bolsa Plastica</v>
      </c>
      <c r="R38" s="47"/>
      <c r="S38" s="53">
        <f>+S32</f>
        <v>50000</v>
      </c>
      <c r="T38" s="47" t="str">
        <f>+T$21</f>
        <v>Caja Carton</v>
      </c>
      <c r="U38" s="47"/>
      <c r="V38" s="53">
        <f>+V32</f>
        <v>50000</v>
      </c>
      <c r="W38" s="47" t="str">
        <f>+W$21</f>
        <v>Tornillos</v>
      </c>
      <c r="X38" s="47"/>
      <c r="Y38" s="53">
        <f>+Y32</f>
        <v>50000</v>
      </c>
      <c r="Z38" s="47" t="str">
        <f>+Z$21</f>
        <v>Cable</v>
      </c>
      <c r="AA38" s="47"/>
      <c r="AB38" s="53">
        <f>+AB32</f>
        <v>50000</v>
      </c>
      <c r="AC38" s="47" t="str">
        <f>+AC$21</f>
        <v>Pegamento</v>
      </c>
      <c r="AD38" s="47"/>
      <c r="AE38" s="53">
        <f>+AE32</f>
        <v>50000</v>
      </c>
      <c r="AF38" s="47" t="str">
        <f>+AF$21</f>
        <v>Circuito integrado MC9508JM</v>
      </c>
      <c r="AG38" s="47"/>
      <c r="AH38" s="53">
        <f>+AH32</f>
        <v>50000</v>
      </c>
      <c r="AI38" s="47" t="str">
        <f>+AI$21</f>
        <v>Capacitor electrolitico de 0,1 uf</v>
      </c>
      <c r="AJ38" s="47"/>
      <c r="AK38" s="53">
        <f>+AK32</f>
        <v>50000</v>
      </c>
      <c r="AL38" s="47" t="str">
        <f>+AL$21</f>
        <v>Capacitor electrolitico de 10 uf</v>
      </c>
      <c r="AM38" s="47"/>
      <c r="AN38" s="53">
        <f>+AN32</f>
        <v>50000</v>
      </c>
      <c r="AO38" s="47" t="str">
        <f>+AO$21</f>
        <v>Capacitor electrolitico de 22pf</v>
      </c>
      <c r="AP38" s="47"/>
      <c r="AQ38" s="53">
        <f>+AQ32</f>
        <v>50000</v>
      </c>
      <c r="AR38" s="47" t="str">
        <f>+AR$21</f>
        <v>Circuito integrado bluetooth</v>
      </c>
      <c r="AS38" s="47"/>
      <c r="AT38" s="53">
        <f>+AT32</f>
        <v>50000</v>
      </c>
      <c r="AU38" s="47" t="str">
        <f>+AU$21</f>
        <v>Circuito integrado motor</v>
      </c>
      <c r="AV38" s="47"/>
      <c r="AW38" s="53">
        <f>+AW32</f>
        <v>50000</v>
      </c>
      <c r="AX38" s="47" t="str">
        <f>+AX$21</f>
        <v>Jumpers</v>
      </c>
      <c r="AY38" s="47"/>
      <c r="AZ38" s="53">
        <f>+AZ32</f>
        <v>50000</v>
      </c>
      <c r="BA38" s="47" t="str">
        <f>+BA$21</f>
        <v>Transistor mosfet N</v>
      </c>
      <c r="BB38" s="47"/>
      <c r="BC38" s="53">
        <f>+BC32</f>
        <v>50000</v>
      </c>
      <c r="BD38" s="47" t="str">
        <f>+BD$21</f>
        <v>Cristal de 12MHz</v>
      </c>
      <c r="BE38" s="47"/>
      <c r="BF38" s="53">
        <f>+BF32</f>
        <v>50000</v>
      </c>
      <c r="BG38" s="47" t="str">
        <f>+BG$21</f>
        <v>Resistencia 10M</v>
      </c>
      <c r="BH38" s="47"/>
      <c r="BI38" s="53">
        <f>+BI32</f>
        <v>50000</v>
      </c>
      <c r="BJ38" s="47" t="str">
        <f>+BJ$21</f>
        <v>Resistencia 10k</v>
      </c>
      <c r="BK38" s="47"/>
      <c r="BL38" s="53">
        <f>+BL32</f>
        <v>50000</v>
      </c>
      <c r="BM38" s="47" t="str">
        <f>+BM$21</f>
        <v>Resistencia de 240 ohms</v>
      </c>
      <c r="BN38" s="47"/>
      <c r="BO38" s="53">
        <f>+BO32</f>
        <v>50000</v>
      </c>
      <c r="BP38" s="47" t="str">
        <f>+BP$21</f>
        <v>Conector de 3 term</v>
      </c>
      <c r="BQ38" s="47"/>
      <c r="BR38" s="53">
        <f>+BR32</f>
        <v>50000</v>
      </c>
      <c r="BS38" s="47" t="str">
        <f>+BS$21</f>
        <v>Plaqueta impresa</v>
      </c>
      <c r="BT38" s="47"/>
      <c r="BU38" s="53">
        <f>+BU32</f>
        <v>50000</v>
      </c>
      <c r="BV38" s="47" t="str">
        <f>+BV$21</f>
        <v>Circuito integrado MC9S08SH8</v>
      </c>
      <c r="BW38" s="47"/>
      <c r="BX38" s="53">
        <f>+BX32</f>
        <v>50000</v>
      </c>
      <c r="BY38" s="47" t="str">
        <f>+BY$21</f>
        <v>Circuito integrado DIP8</v>
      </c>
      <c r="BZ38" s="47"/>
      <c r="CA38" s="53">
        <f>+CA32</f>
        <v>50000</v>
      </c>
      <c r="CB38" s="47" t="str">
        <f>+CB$21</f>
        <v>Jack 3,5mm</v>
      </c>
      <c r="CC38" s="47"/>
      <c r="CD38" s="53">
        <f>+CD32</f>
        <v>50000</v>
      </c>
      <c r="CE38" s="47" t="str">
        <f>+CE$21</f>
        <v>Pulsador</v>
      </c>
      <c r="CF38" s="47"/>
      <c r="CG38" s="53">
        <f>+CG32</f>
        <v>50000</v>
      </c>
      <c r="CH38" s="47" t="str">
        <f>+CH$21</f>
        <v>Circuito integrado amplificador operacional TL082D</v>
      </c>
      <c r="CI38" s="47"/>
      <c r="CJ38" s="53">
        <f>+CJ32</f>
        <v>50000</v>
      </c>
      <c r="CK38" s="47" t="str">
        <f>+CK$21</f>
        <v>Circuito integrado MC6002</v>
      </c>
      <c r="CL38" s="47"/>
      <c r="CM38" s="53">
        <f>+CM32</f>
        <v>50000</v>
      </c>
      <c r="CN38" s="47" t="str">
        <f>+CN$21</f>
        <v>Circuito integrado LM393P</v>
      </c>
      <c r="CO38" s="47"/>
      <c r="CP38" s="53">
        <f>+CP32</f>
        <v>50000</v>
      </c>
      <c r="CQ38" s="47" t="str">
        <f>+CQ$21</f>
        <v>Diodo 1N4148</v>
      </c>
      <c r="CR38" s="47"/>
      <c r="CS38" s="53">
        <f>+CS32</f>
        <v>50000</v>
      </c>
      <c r="CT38" s="47" t="str">
        <f>+CT$21</f>
        <v>Resistencia de 4k7</v>
      </c>
      <c r="CU38" s="47"/>
      <c r="CV38" s="53">
        <f>+CV32</f>
        <v>50000</v>
      </c>
      <c r="CW38" s="47" t="str">
        <f>+CW$21</f>
        <v>Diodos led</v>
      </c>
      <c r="CX38" s="47"/>
      <c r="CY38" s="53">
        <f>+CY32</f>
        <v>50000</v>
      </c>
      <c r="CZ38" s="47" t="str">
        <f>+CZ$21</f>
        <v>Resistencia de 330 ohm</v>
      </c>
      <c r="DA38" s="47"/>
      <c r="DB38" s="53">
        <f>+DB32</f>
        <v>50000</v>
      </c>
      <c r="DC38" s="47" t="str">
        <f>+DC$21</f>
        <v>Resistencia de 47k</v>
      </c>
      <c r="DD38" s="47"/>
      <c r="DE38" s="53">
        <f>+DE32</f>
        <v>50000</v>
      </c>
      <c r="DF38" s="47" t="str">
        <f>+DF$21</f>
        <v>Resistencia de 15k</v>
      </c>
      <c r="DG38" s="47"/>
      <c r="DH38" s="53">
        <f>+DH32</f>
        <v>50000</v>
      </c>
      <c r="DI38" s="47" t="str">
        <f>+DI$21</f>
        <v>Resistencia de 100R</v>
      </c>
      <c r="DJ38" s="47"/>
      <c r="DK38" s="53">
        <f>+DK32</f>
        <v>50000</v>
      </c>
      <c r="DL38" s="47" t="str">
        <f>+DL$21</f>
        <v>Resistencia de 180R</v>
      </c>
      <c r="DM38" s="47"/>
      <c r="DN38" s="53">
        <f>+DN32</f>
        <v>50000</v>
      </c>
      <c r="DO38" s="47" t="str">
        <f>+DO$21</f>
        <v>Capacitor electrolitico de 1 uf</v>
      </c>
      <c r="DP38" s="47"/>
      <c r="DQ38" s="53">
        <f>+DQ32</f>
        <v>50000</v>
      </c>
    </row>
    <row r="39" spans="1:121" ht="15.75" thickBot="1" x14ac:dyDescent="0.3"/>
    <row r="40" spans="1:121" ht="15.75" thickBot="1" x14ac:dyDescent="0.3">
      <c r="A40" s="18" t="s">
        <v>81</v>
      </c>
      <c r="B40" s="19" t="s">
        <v>4</v>
      </c>
      <c r="E40" s="74" t="s">
        <v>5</v>
      </c>
      <c r="F40" s="75" t="s">
        <v>92</v>
      </c>
      <c r="G40" s="75" t="s">
        <v>93</v>
      </c>
      <c r="H40" s="75" t="s">
        <v>94</v>
      </c>
      <c r="I40" s="70" t="s">
        <v>95</v>
      </c>
      <c r="N40" s="126" t="s">
        <v>98</v>
      </c>
      <c r="O40" s="126" t="s">
        <v>242</v>
      </c>
      <c r="P40" s="126" t="s">
        <v>243</v>
      </c>
      <c r="Q40" s="126" t="s">
        <v>99</v>
      </c>
      <c r="R40" s="126" t="s">
        <v>239</v>
      </c>
    </row>
    <row r="41" spans="1:121" x14ac:dyDescent="0.25">
      <c r="A41" s="16" t="s">
        <v>82</v>
      </c>
      <c r="B41" s="17">
        <v>20000</v>
      </c>
      <c r="E41" s="73" t="s">
        <v>3</v>
      </c>
      <c r="F41" s="66">
        <v>1</v>
      </c>
      <c r="G41" s="67" t="s">
        <v>97</v>
      </c>
      <c r="H41" s="68">
        <v>1.5</v>
      </c>
      <c r="I41" s="69" t="s">
        <v>96</v>
      </c>
      <c r="J41" s="58"/>
      <c r="M41" s="135" t="s">
        <v>3</v>
      </c>
      <c r="N41" s="127">
        <v>51510</v>
      </c>
      <c r="O41" s="128">
        <v>0</v>
      </c>
      <c r="P41" s="128">
        <v>1510</v>
      </c>
      <c r="Q41" s="128">
        <v>50000</v>
      </c>
      <c r="R41" s="129">
        <f>+P41/Q41</f>
        <v>3.0200000000000001E-2</v>
      </c>
    </row>
    <row r="42" spans="1:121" x14ac:dyDescent="0.25">
      <c r="A42" s="16" t="s">
        <v>83</v>
      </c>
      <c r="B42" s="17">
        <v>50000</v>
      </c>
      <c r="E42" s="71" t="s">
        <v>6</v>
      </c>
      <c r="F42" s="60">
        <v>1</v>
      </c>
      <c r="G42" s="61" t="s">
        <v>97</v>
      </c>
      <c r="H42" s="60">
        <v>1</v>
      </c>
      <c r="I42" s="62" t="s">
        <v>97</v>
      </c>
      <c r="M42" s="135" t="s">
        <v>30</v>
      </c>
      <c r="N42" s="130">
        <v>52546.651627499989</v>
      </c>
      <c r="O42" s="131">
        <v>0</v>
      </c>
      <c r="P42" s="131">
        <v>2546.6516274999999</v>
      </c>
      <c r="Q42" s="131">
        <v>50000</v>
      </c>
      <c r="R42" s="132">
        <f t="shared" ref="R42:R80" si="0">+P42/Q42</f>
        <v>5.093303255E-2</v>
      </c>
    </row>
    <row r="43" spans="1:121" x14ac:dyDescent="0.25">
      <c r="A43" s="16" t="s">
        <v>84</v>
      </c>
      <c r="B43" s="17">
        <v>50000</v>
      </c>
      <c r="E43" s="71" t="s">
        <v>34</v>
      </c>
      <c r="F43" s="60">
        <v>1</v>
      </c>
      <c r="G43" s="61" t="s">
        <v>97</v>
      </c>
      <c r="H43" s="60">
        <v>1</v>
      </c>
      <c r="I43" s="62" t="s">
        <v>97</v>
      </c>
      <c r="M43" s="135" t="s">
        <v>6</v>
      </c>
      <c r="N43" s="130">
        <v>50500</v>
      </c>
      <c r="O43" s="131">
        <v>0</v>
      </c>
      <c r="P43" s="131">
        <v>500</v>
      </c>
      <c r="Q43" s="131">
        <v>50000</v>
      </c>
      <c r="R43" s="132">
        <f t="shared" si="0"/>
        <v>0.01</v>
      </c>
    </row>
    <row r="44" spans="1:121" x14ac:dyDescent="0.25">
      <c r="A44" s="16" t="s">
        <v>85</v>
      </c>
      <c r="B44" s="17">
        <v>50000</v>
      </c>
      <c r="E44" s="71" t="s">
        <v>0</v>
      </c>
      <c r="F44" s="60">
        <v>1</v>
      </c>
      <c r="G44" s="61" t="s">
        <v>97</v>
      </c>
      <c r="H44" s="60">
        <v>0.3</v>
      </c>
      <c r="I44" s="62" t="s">
        <v>1</v>
      </c>
      <c r="M44" s="135" t="s">
        <v>32</v>
      </c>
      <c r="N44" s="130">
        <v>50500</v>
      </c>
      <c r="O44" s="131">
        <v>0</v>
      </c>
      <c r="P44" s="131">
        <v>500</v>
      </c>
      <c r="Q44" s="131">
        <v>50000</v>
      </c>
      <c r="R44" s="132">
        <f t="shared" si="0"/>
        <v>0.01</v>
      </c>
    </row>
    <row r="45" spans="1:121" x14ac:dyDescent="0.25">
      <c r="A45" s="16" t="s">
        <v>86</v>
      </c>
      <c r="B45" s="17">
        <v>50000</v>
      </c>
      <c r="E45" s="71" t="s">
        <v>35</v>
      </c>
      <c r="F45" s="60">
        <v>1</v>
      </c>
      <c r="G45" s="61" t="s">
        <v>97</v>
      </c>
      <c r="H45" s="60">
        <v>1</v>
      </c>
      <c r="I45" s="62" t="s">
        <v>97</v>
      </c>
      <c r="M45" s="135" t="s">
        <v>33</v>
      </c>
      <c r="N45" s="130">
        <v>52015</v>
      </c>
      <c r="O45" s="131">
        <v>0</v>
      </c>
      <c r="P45" s="131">
        <v>2015</v>
      </c>
      <c r="Q45" s="131">
        <v>50000</v>
      </c>
      <c r="R45" s="132">
        <f t="shared" si="0"/>
        <v>4.0300000000000002E-2</v>
      </c>
      <c r="U45" s="58"/>
      <c r="V45" s="58"/>
      <c r="W45" s="58"/>
      <c r="X45" s="58"/>
    </row>
    <row r="46" spans="1:121" x14ac:dyDescent="0.25">
      <c r="A46" s="311"/>
      <c r="B46" s="312"/>
      <c r="E46" s="71" t="s">
        <v>42</v>
      </c>
      <c r="F46" s="60">
        <v>1</v>
      </c>
      <c r="G46" s="61" t="s">
        <v>97</v>
      </c>
      <c r="H46" s="60">
        <v>9</v>
      </c>
      <c r="I46" s="62" t="s">
        <v>97</v>
      </c>
      <c r="M46" s="135" t="s">
        <v>34</v>
      </c>
      <c r="N46" s="130">
        <v>51000</v>
      </c>
      <c r="O46" s="131">
        <v>0</v>
      </c>
      <c r="P46" s="131">
        <v>1000</v>
      </c>
      <c r="Q46" s="131">
        <v>50000</v>
      </c>
      <c r="R46" s="132">
        <f t="shared" si="0"/>
        <v>0.02</v>
      </c>
      <c r="T46" s="58"/>
      <c r="U46" s="58"/>
      <c r="V46" s="58"/>
      <c r="W46" s="58"/>
      <c r="X46" s="58"/>
    </row>
    <row r="47" spans="1:121" x14ac:dyDescent="0.25">
      <c r="A47" s="309"/>
      <c r="B47" s="310"/>
      <c r="E47" s="71" t="s">
        <v>80</v>
      </c>
      <c r="F47" s="60">
        <v>1</v>
      </c>
      <c r="G47" s="61" t="s">
        <v>97</v>
      </c>
      <c r="H47" s="60">
        <v>4</v>
      </c>
      <c r="I47" s="62" t="s">
        <v>97</v>
      </c>
      <c r="M47" s="135" t="s">
        <v>35</v>
      </c>
      <c r="N47" s="130">
        <v>50500</v>
      </c>
      <c r="O47" s="131">
        <v>0</v>
      </c>
      <c r="P47" s="131">
        <v>500</v>
      </c>
      <c r="Q47" s="131">
        <v>50000</v>
      </c>
      <c r="R47" s="132">
        <f t="shared" si="0"/>
        <v>0.01</v>
      </c>
      <c r="T47" s="58"/>
      <c r="U47" s="58"/>
      <c r="V47" s="58"/>
      <c r="W47" s="58"/>
      <c r="X47" s="58"/>
    </row>
    <row r="48" spans="1:121" x14ac:dyDescent="0.25">
      <c r="A48" s="248"/>
      <c r="B48" s="248"/>
      <c r="E48" s="71" t="s">
        <v>46</v>
      </c>
      <c r="F48" s="60">
        <v>1</v>
      </c>
      <c r="G48" s="61" t="s">
        <v>97</v>
      </c>
      <c r="H48" s="60">
        <v>1</v>
      </c>
      <c r="I48" s="62" t="s">
        <v>97</v>
      </c>
      <c r="M48" s="135" t="s">
        <v>36</v>
      </c>
      <c r="N48" s="130">
        <v>50752.499999999993</v>
      </c>
      <c r="O48" s="131">
        <v>0</v>
      </c>
      <c r="P48" s="131">
        <v>752.5</v>
      </c>
      <c r="Q48" s="131">
        <v>50000</v>
      </c>
      <c r="R48" s="132">
        <f t="shared" si="0"/>
        <v>1.5049999999999999E-2</v>
      </c>
      <c r="T48" s="58"/>
      <c r="U48" s="58"/>
      <c r="V48" s="58"/>
      <c r="W48" s="58"/>
      <c r="X48" s="58"/>
    </row>
    <row r="49" spans="5:24" x14ac:dyDescent="0.25">
      <c r="E49" s="71" t="s">
        <v>48</v>
      </c>
      <c r="F49" s="60">
        <v>1</v>
      </c>
      <c r="G49" s="61" t="s">
        <v>97</v>
      </c>
      <c r="H49" s="60">
        <v>2</v>
      </c>
      <c r="I49" s="62" t="s">
        <v>97</v>
      </c>
      <c r="M49" s="135" t="s">
        <v>0</v>
      </c>
      <c r="N49" s="130">
        <v>51500</v>
      </c>
      <c r="O49" s="131">
        <v>500</v>
      </c>
      <c r="P49" s="131">
        <v>1000</v>
      </c>
      <c r="Q49" s="131">
        <v>50000</v>
      </c>
      <c r="R49" s="132">
        <f t="shared" si="0"/>
        <v>0.02</v>
      </c>
      <c r="T49" s="58"/>
      <c r="U49" s="58"/>
      <c r="V49" s="58"/>
      <c r="W49" s="58"/>
      <c r="X49" s="58"/>
    </row>
    <row r="50" spans="5:24" x14ac:dyDescent="0.25">
      <c r="E50" s="71" t="s">
        <v>32</v>
      </c>
      <c r="F50" s="60">
        <v>1</v>
      </c>
      <c r="G50" s="61" t="s">
        <v>97</v>
      </c>
      <c r="H50" s="60">
        <v>1</v>
      </c>
      <c r="I50" s="62" t="s">
        <v>97</v>
      </c>
      <c r="M50" s="135" t="s">
        <v>2</v>
      </c>
      <c r="N50" s="130">
        <v>52500</v>
      </c>
      <c r="O50" s="131">
        <v>0</v>
      </c>
      <c r="P50" s="131">
        <v>2500</v>
      </c>
      <c r="Q50" s="131">
        <v>50000</v>
      </c>
      <c r="R50" s="132">
        <f t="shared" si="0"/>
        <v>0.05</v>
      </c>
      <c r="T50" s="58"/>
      <c r="U50" s="58"/>
      <c r="V50" s="58"/>
      <c r="W50" s="58"/>
      <c r="X50" s="58"/>
    </row>
    <row r="51" spans="5:24" x14ac:dyDescent="0.25">
      <c r="E51" s="71" t="s">
        <v>68</v>
      </c>
      <c r="F51" s="60">
        <v>1</v>
      </c>
      <c r="G51" s="61" t="s">
        <v>97</v>
      </c>
      <c r="H51" s="60">
        <v>1</v>
      </c>
      <c r="I51" s="62" t="s">
        <v>97</v>
      </c>
      <c r="M51" s="135" t="s">
        <v>41</v>
      </c>
      <c r="N51" s="130">
        <v>51510</v>
      </c>
      <c r="O51" s="131">
        <v>0</v>
      </c>
      <c r="P51" s="131">
        <v>1510</v>
      </c>
      <c r="Q51" s="131">
        <v>50000</v>
      </c>
      <c r="R51" s="132">
        <f t="shared" si="0"/>
        <v>3.0200000000000001E-2</v>
      </c>
      <c r="T51" s="58"/>
      <c r="U51" s="58"/>
      <c r="V51" s="58"/>
      <c r="W51" s="58"/>
      <c r="X51" s="58"/>
    </row>
    <row r="52" spans="5:24" x14ac:dyDescent="0.25">
      <c r="E52" s="71" t="s">
        <v>49</v>
      </c>
      <c r="F52" s="60">
        <v>1</v>
      </c>
      <c r="G52" s="61" t="s">
        <v>97</v>
      </c>
      <c r="H52" s="60">
        <v>1</v>
      </c>
      <c r="I52" s="62" t="s">
        <v>97</v>
      </c>
      <c r="M52" s="135" t="s">
        <v>42</v>
      </c>
      <c r="N52" s="130">
        <v>52259.999999999993</v>
      </c>
      <c r="O52" s="131">
        <v>502.49999999999994</v>
      </c>
      <c r="P52" s="131">
        <v>1757.4999999999998</v>
      </c>
      <c r="Q52" s="131">
        <v>50000</v>
      </c>
      <c r="R52" s="132">
        <f t="shared" si="0"/>
        <v>3.5149999999999994E-2</v>
      </c>
      <c r="T52" s="58"/>
      <c r="U52" s="58"/>
      <c r="V52" s="58"/>
      <c r="W52" s="58"/>
      <c r="X52" s="58"/>
    </row>
    <row r="53" spans="5:24" x14ac:dyDescent="0.25">
      <c r="E53" s="71" t="s">
        <v>64</v>
      </c>
      <c r="F53" s="60">
        <v>1</v>
      </c>
      <c r="G53" s="61" t="s">
        <v>97</v>
      </c>
      <c r="H53" s="60">
        <v>1</v>
      </c>
      <c r="I53" s="62" t="s">
        <v>97</v>
      </c>
      <c r="M53" s="135" t="s">
        <v>46</v>
      </c>
      <c r="N53" s="130">
        <v>52259.999999999993</v>
      </c>
      <c r="O53" s="131">
        <v>502.49999999999994</v>
      </c>
      <c r="P53" s="131">
        <v>1757.4999999999998</v>
      </c>
      <c r="Q53" s="131">
        <v>50000</v>
      </c>
      <c r="R53" s="132">
        <f t="shared" si="0"/>
        <v>3.5149999999999994E-2</v>
      </c>
      <c r="T53" s="58"/>
      <c r="U53" s="58"/>
      <c r="V53" s="58"/>
      <c r="W53" s="58"/>
      <c r="X53" s="58"/>
    </row>
    <row r="54" spans="5:24" x14ac:dyDescent="0.25">
      <c r="E54" s="71" t="s">
        <v>70</v>
      </c>
      <c r="F54" s="60">
        <v>1</v>
      </c>
      <c r="G54" s="61" t="s">
        <v>97</v>
      </c>
      <c r="H54" s="60">
        <v>1</v>
      </c>
      <c r="I54" s="62" t="s">
        <v>97</v>
      </c>
      <c r="M54" s="135" t="s">
        <v>48</v>
      </c>
      <c r="N54" s="130">
        <v>52259.999999999993</v>
      </c>
      <c r="O54" s="131">
        <v>502.49999999999994</v>
      </c>
      <c r="P54" s="131">
        <v>1757.4999999999998</v>
      </c>
      <c r="Q54" s="131">
        <v>50000</v>
      </c>
      <c r="R54" s="132">
        <f t="shared" si="0"/>
        <v>3.5149999999999994E-2</v>
      </c>
      <c r="T54" s="58"/>
      <c r="U54" s="58"/>
      <c r="V54" s="58"/>
      <c r="W54" s="58"/>
      <c r="X54" s="58"/>
    </row>
    <row r="55" spans="5:24" x14ac:dyDescent="0.25">
      <c r="E55" s="71" t="s">
        <v>69</v>
      </c>
      <c r="F55" s="60">
        <v>1</v>
      </c>
      <c r="G55" s="61" t="s">
        <v>97</v>
      </c>
      <c r="H55" s="60">
        <v>2</v>
      </c>
      <c r="I55" s="62" t="s">
        <v>97</v>
      </c>
      <c r="M55" s="135" t="s">
        <v>49</v>
      </c>
      <c r="N55" s="130">
        <v>51510</v>
      </c>
      <c r="O55" s="131">
        <v>0</v>
      </c>
      <c r="P55" s="131">
        <v>1510</v>
      </c>
      <c r="Q55" s="131">
        <v>50000</v>
      </c>
      <c r="R55" s="132">
        <f t="shared" si="0"/>
        <v>3.0200000000000001E-2</v>
      </c>
      <c r="T55" s="58"/>
      <c r="U55" s="58"/>
      <c r="V55" s="58"/>
      <c r="W55" s="58"/>
      <c r="X55" s="58"/>
    </row>
    <row r="56" spans="5:24" x14ac:dyDescent="0.25">
      <c r="E56" s="71" t="s">
        <v>41</v>
      </c>
      <c r="F56" s="60">
        <v>1</v>
      </c>
      <c r="G56" s="61" t="s">
        <v>97</v>
      </c>
      <c r="H56" s="60">
        <v>1</v>
      </c>
      <c r="I56" s="62" t="s">
        <v>97</v>
      </c>
      <c r="M56" s="135" t="s">
        <v>51</v>
      </c>
      <c r="N56" s="130">
        <v>51510</v>
      </c>
      <c r="O56" s="131">
        <v>0</v>
      </c>
      <c r="P56" s="131">
        <v>1510</v>
      </c>
      <c r="Q56" s="131">
        <v>50000</v>
      </c>
      <c r="R56" s="132">
        <f t="shared" si="0"/>
        <v>3.0200000000000001E-2</v>
      </c>
      <c r="T56" s="58"/>
      <c r="U56" s="58"/>
      <c r="V56" s="58"/>
      <c r="W56" s="58"/>
      <c r="X56" s="58"/>
    </row>
    <row r="57" spans="5:24" x14ac:dyDescent="0.25">
      <c r="E57" s="71" t="s">
        <v>63</v>
      </c>
      <c r="F57" s="60">
        <v>1</v>
      </c>
      <c r="G57" s="61" t="s">
        <v>97</v>
      </c>
      <c r="H57" s="60">
        <v>1</v>
      </c>
      <c r="I57" s="62" t="s">
        <v>97</v>
      </c>
      <c r="M57" s="135" t="s">
        <v>52</v>
      </c>
      <c r="N57" s="130">
        <v>50752.499999999993</v>
      </c>
      <c r="O57" s="131">
        <v>0</v>
      </c>
      <c r="P57" s="131">
        <v>752.5</v>
      </c>
      <c r="Q57" s="131">
        <v>50000</v>
      </c>
      <c r="R57" s="132">
        <f t="shared" si="0"/>
        <v>1.5049999999999999E-2</v>
      </c>
      <c r="T57" s="58"/>
      <c r="U57" s="58"/>
      <c r="V57" s="58"/>
      <c r="W57" s="58"/>
      <c r="X57" s="58"/>
    </row>
    <row r="58" spans="5:24" x14ac:dyDescent="0.25">
      <c r="E58" s="71" t="s">
        <v>51</v>
      </c>
      <c r="F58" s="60">
        <v>1</v>
      </c>
      <c r="G58" s="61" t="s">
        <v>97</v>
      </c>
      <c r="H58" s="60">
        <v>1</v>
      </c>
      <c r="I58" s="62" t="s">
        <v>97</v>
      </c>
      <c r="M58" s="135" t="s">
        <v>53</v>
      </c>
      <c r="N58" s="130">
        <v>51003.749999999985</v>
      </c>
      <c r="O58" s="131">
        <v>502.49999999999994</v>
      </c>
      <c r="P58" s="131">
        <v>501.25</v>
      </c>
      <c r="Q58" s="131">
        <v>50000</v>
      </c>
      <c r="R58" s="132">
        <f t="shared" si="0"/>
        <v>1.0024999999999999E-2</v>
      </c>
      <c r="T58" s="58"/>
      <c r="U58" s="58"/>
      <c r="V58" s="58"/>
      <c r="W58" s="58"/>
      <c r="X58" s="58"/>
    </row>
    <row r="59" spans="5:24" x14ac:dyDescent="0.25">
      <c r="E59" s="71" t="s">
        <v>61</v>
      </c>
      <c r="F59" s="60">
        <v>1</v>
      </c>
      <c r="G59" s="61" t="s">
        <v>97</v>
      </c>
      <c r="H59" s="60">
        <v>6</v>
      </c>
      <c r="I59" s="62" t="s">
        <v>97</v>
      </c>
      <c r="M59" s="135" t="s">
        <v>55</v>
      </c>
      <c r="N59" s="130">
        <v>50500</v>
      </c>
      <c r="O59" s="131">
        <v>0</v>
      </c>
      <c r="P59" s="131">
        <v>500</v>
      </c>
      <c r="Q59" s="131">
        <v>50000</v>
      </c>
      <c r="R59" s="132">
        <f t="shared" si="0"/>
        <v>0.01</v>
      </c>
      <c r="T59" s="58"/>
      <c r="U59" s="58"/>
      <c r="V59" s="58"/>
      <c r="W59" s="58"/>
      <c r="X59" s="58"/>
    </row>
    <row r="60" spans="5:24" x14ac:dyDescent="0.25">
      <c r="E60" s="71" t="s">
        <v>55</v>
      </c>
      <c r="F60" s="60">
        <v>1</v>
      </c>
      <c r="G60" s="61" t="s">
        <v>97</v>
      </c>
      <c r="H60" s="60">
        <v>1</v>
      </c>
      <c r="I60" s="62" t="s">
        <v>97</v>
      </c>
      <c r="M60" s="135" t="s">
        <v>56</v>
      </c>
      <c r="N60" s="130">
        <v>51003.749999999985</v>
      </c>
      <c r="O60" s="131">
        <v>502.49999999999994</v>
      </c>
      <c r="P60" s="131">
        <v>501.25</v>
      </c>
      <c r="Q60" s="131">
        <v>50000</v>
      </c>
      <c r="R60" s="132">
        <f t="shared" si="0"/>
        <v>1.0024999999999999E-2</v>
      </c>
      <c r="T60" s="58"/>
      <c r="U60" s="58"/>
      <c r="V60" s="58"/>
      <c r="W60" s="58"/>
      <c r="X60" s="58"/>
    </row>
    <row r="61" spans="5:24" x14ac:dyDescent="0.25">
      <c r="E61" s="71" t="s">
        <v>71</v>
      </c>
      <c r="F61" s="60">
        <v>1</v>
      </c>
      <c r="G61" s="61" t="s">
        <v>97</v>
      </c>
      <c r="H61" s="60">
        <v>1</v>
      </c>
      <c r="I61" s="62" t="s">
        <v>97</v>
      </c>
      <c r="M61" s="135" t="s">
        <v>58</v>
      </c>
      <c r="N61" s="130">
        <v>51003.749999999985</v>
      </c>
      <c r="O61" s="131">
        <v>502.49999999999994</v>
      </c>
      <c r="P61" s="131">
        <v>501.25</v>
      </c>
      <c r="Q61" s="131">
        <v>50000</v>
      </c>
      <c r="R61" s="132">
        <f t="shared" si="0"/>
        <v>1.0024999999999999E-2</v>
      </c>
      <c r="T61" s="58"/>
      <c r="U61" s="58"/>
      <c r="V61" s="58"/>
      <c r="W61" s="58"/>
      <c r="X61" s="58"/>
    </row>
    <row r="62" spans="5:24" x14ac:dyDescent="0.25">
      <c r="E62" s="71" t="s">
        <v>73</v>
      </c>
      <c r="F62" s="60">
        <v>1</v>
      </c>
      <c r="G62" s="61" t="s">
        <v>97</v>
      </c>
      <c r="H62" s="60">
        <v>7</v>
      </c>
      <c r="I62" s="62" t="s">
        <v>97</v>
      </c>
      <c r="M62" s="135" t="s">
        <v>59</v>
      </c>
      <c r="N62" s="130">
        <v>51003.749999999985</v>
      </c>
      <c r="O62" s="131">
        <v>502.49999999999994</v>
      </c>
      <c r="P62" s="131">
        <v>501.25</v>
      </c>
      <c r="Q62" s="131">
        <v>50000</v>
      </c>
      <c r="R62" s="132">
        <f t="shared" si="0"/>
        <v>1.0024999999999999E-2</v>
      </c>
      <c r="T62" s="58"/>
      <c r="U62" s="58"/>
      <c r="V62" s="58"/>
      <c r="W62" s="58"/>
      <c r="X62" s="58"/>
    </row>
    <row r="63" spans="5:24" x14ac:dyDescent="0.25">
      <c r="E63" s="71" t="s">
        <v>66</v>
      </c>
      <c r="F63" s="60">
        <v>1</v>
      </c>
      <c r="G63" s="61" t="s">
        <v>97</v>
      </c>
      <c r="H63" s="60">
        <v>2</v>
      </c>
      <c r="I63" s="62" t="s">
        <v>97</v>
      </c>
      <c r="M63" s="135" t="s">
        <v>61</v>
      </c>
      <c r="N63" s="130">
        <v>51510</v>
      </c>
      <c r="O63" s="131">
        <v>500</v>
      </c>
      <c r="P63" s="131">
        <v>1010</v>
      </c>
      <c r="Q63" s="131">
        <v>50000</v>
      </c>
      <c r="R63" s="132">
        <f t="shared" si="0"/>
        <v>2.0199999999999999E-2</v>
      </c>
      <c r="T63" s="58"/>
      <c r="U63" s="58"/>
      <c r="V63" s="58"/>
      <c r="W63" s="58"/>
      <c r="X63" s="58"/>
    </row>
    <row r="64" spans="5:24" x14ac:dyDescent="0.25">
      <c r="E64" s="71" t="s">
        <v>52</v>
      </c>
      <c r="F64" s="60">
        <v>1</v>
      </c>
      <c r="G64" s="61" t="s">
        <v>97</v>
      </c>
      <c r="H64" s="60">
        <v>23</v>
      </c>
      <c r="I64" s="62" t="s">
        <v>97</v>
      </c>
      <c r="M64" s="135" t="s">
        <v>62</v>
      </c>
      <c r="N64" s="130">
        <v>52025.1</v>
      </c>
      <c r="O64" s="131">
        <v>0</v>
      </c>
      <c r="P64" s="131">
        <v>2025.1</v>
      </c>
      <c r="Q64" s="131">
        <v>50000</v>
      </c>
      <c r="R64" s="132">
        <f t="shared" si="0"/>
        <v>4.0501999999999996E-2</v>
      </c>
      <c r="T64" s="58"/>
      <c r="U64" s="58"/>
      <c r="V64" s="58"/>
      <c r="W64" s="58"/>
      <c r="X64" s="58"/>
    </row>
    <row r="65" spans="5:24" x14ac:dyDescent="0.25">
      <c r="E65" s="71" t="s">
        <v>33</v>
      </c>
      <c r="F65" s="60">
        <v>1</v>
      </c>
      <c r="G65" s="61" t="s">
        <v>97</v>
      </c>
      <c r="H65" s="60">
        <v>1</v>
      </c>
      <c r="I65" s="62" t="s">
        <v>97</v>
      </c>
      <c r="M65" s="135" t="s">
        <v>63</v>
      </c>
      <c r="N65" s="130">
        <v>51510</v>
      </c>
      <c r="O65" s="131">
        <v>0</v>
      </c>
      <c r="P65" s="131">
        <v>1510</v>
      </c>
      <c r="Q65" s="131">
        <v>50000</v>
      </c>
      <c r="R65" s="132">
        <f t="shared" si="0"/>
        <v>3.0200000000000001E-2</v>
      </c>
      <c r="T65" s="58"/>
      <c r="U65" s="58"/>
      <c r="V65" s="58"/>
      <c r="W65" s="58"/>
      <c r="X65" s="58"/>
    </row>
    <row r="66" spans="5:24" x14ac:dyDescent="0.25">
      <c r="E66" s="71" t="s">
        <v>2</v>
      </c>
      <c r="F66" s="60">
        <v>1</v>
      </c>
      <c r="G66" s="61" t="s">
        <v>97</v>
      </c>
      <c r="H66" s="60">
        <v>30</v>
      </c>
      <c r="I66" s="62" t="s">
        <v>38</v>
      </c>
      <c r="M66" s="135" t="s">
        <v>64</v>
      </c>
      <c r="N66" s="130">
        <v>51510</v>
      </c>
      <c r="O66" s="131">
        <v>0</v>
      </c>
      <c r="P66" s="131">
        <v>1510</v>
      </c>
      <c r="Q66" s="131">
        <v>50000</v>
      </c>
      <c r="R66" s="132">
        <f t="shared" si="0"/>
        <v>3.0200000000000001E-2</v>
      </c>
      <c r="T66" s="58"/>
      <c r="U66" s="58"/>
      <c r="V66" s="58"/>
      <c r="W66" s="58"/>
      <c r="X66" s="58"/>
    </row>
    <row r="67" spans="5:24" x14ac:dyDescent="0.25">
      <c r="E67" s="71" t="s">
        <v>30</v>
      </c>
      <c r="F67" s="60">
        <v>1</v>
      </c>
      <c r="G67" s="61" t="s">
        <v>97</v>
      </c>
      <c r="H67" s="60">
        <v>1</v>
      </c>
      <c r="I67" s="62" t="s">
        <v>97</v>
      </c>
      <c r="M67" s="135" t="s">
        <v>66</v>
      </c>
      <c r="N67" s="130">
        <v>52015</v>
      </c>
      <c r="O67" s="131">
        <v>0</v>
      </c>
      <c r="P67" s="131">
        <v>2015</v>
      </c>
      <c r="Q67" s="131">
        <v>50000</v>
      </c>
      <c r="R67" s="132">
        <f t="shared" si="0"/>
        <v>4.0300000000000002E-2</v>
      </c>
      <c r="T67" s="58"/>
      <c r="U67" s="58"/>
      <c r="V67" s="58"/>
      <c r="W67" s="58"/>
      <c r="X67" s="58"/>
    </row>
    <row r="68" spans="5:24" x14ac:dyDescent="0.25">
      <c r="E68" s="71" t="s">
        <v>62</v>
      </c>
      <c r="F68" s="60">
        <v>1</v>
      </c>
      <c r="G68" s="61" t="s">
        <v>97</v>
      </c>
      <c r="H68" s="60">
        <v>1</v>
      </c>
      <c r="I68" s="62" t="s">
        <v>97</v>
      </c>
      <c r="M68" s="135" t="s">
        <v>67</v>
      </c>
      <c r="N68" s="130">
        <v>51510</v>
      </c>
      <c r="O68" s="131">
        <v>0</v>
      </c>
      <c r="P68" s="131">
        <v>1510</v>
      </c>
      <c r="Q68" s="131">
        <v>50000</v>
      </c>
      <c r="R68" s="132">
        <f t="shared" si="0"/>
        <v>3.0200000000000001E-2</v>
      </c>
      <c r="T68" s="58"/>
      <c r="U68" s="58"/>
      <c r="V68" s="58"/>
      <c r="W68" s="58"/>
      <c r="X68" s="58"/>
    </row>
    <row r="69" spans="5:24" x14ac:dyDescent="0.25">
      <c r="E69" s="71" t="s">
        <v>67</v>
      </c>
      <c r="F69" s="60">
        <v>1</v>
      </c>
      <c r="G69" s="61" t="s">
        <v>97</v>
      </c>
      <c r="H69" s="60">
        <v>1</v>
      </c>
      <c r="I69" s="62" t="s">
        <v>97</v>
      </c>
      <c r="M69" s="135" t="s">
        <v>68</v>
      </c>
      <c r="N69" s="130">
        <v>51510</v>
      </c>
      <c r="O69" s="131">
        <v>0</v>
      </c>
      <c r="P69" s="131">
        <v>1510</v>
      </c>
      <c r="Q69" s="131">
        <v>50000</v>
      </c>
      <c r="R69" s="132">
        <f t="shared" si="0"/>
        <v>3.0200000000000001E-2</v>
      </c>
      <c r="T69" s="58"/>
      <c r="U69" s="58"/>
      <c r="V69" s="58"/>
      <c r="W69" s="58"/>
      <c r="X69" s="58"/>
    </row>
    <row r="70" spans="5:24" x14ac:dyDescent="0.25">
      <c r="E70" s="71" t="s">
        <v>58</v>
      </c>
      <c r="F70" s="60">
        <v>1</v>
      </c>
      <c r="G70" s="61" t="s">
        <v>97</v>
      </c>
      <c r="H70" s="60">
        <v>14</v>
      </c>
      <c r="I70" s="62" t="s">
        <v>97</v>
      </c>
      <c r="M70" s="135" t="s">
        <v>69</v>
      </c>
      <c r="N70" s="130">
        <v>51510</v>
      </c>
      <c r="O70" s="131">
        <v>0</v>
      </c>
      <c r="P70" s="131">
        <v>1510</v>
      </c>
      <c r="Q70" s="131">
        <v>50000</v>
      </c>
      <c r="R70" s="132">
        <f t="shared" si="0"/>
        <v>3.0200000000000001E-2</v>
      </c>
      <c r="T70" s="58"/>
      <c r="U70" s="58"/>
      <c r="V70" s="58"/>
      <c r="W70" s="58"/>
      <c r="X70" s="58"/>
    </row>
    <row r="71" spans="5:24" x14ac:dyDescent="0.25">
      <c r="E71" s="71" t="s">
        <v>56</v>
      </c>
      <c r="F71" s="60">
        <v>1</v>
      </c>
      <c r="G71" s="61" t="s">
        <v>97</v>
      </c>
      <c r="H71" s="60">
        <v>4</v>
      </c>
      <c r="I71" s="62" t="s">
        <v>97</v>
      </c>
      <c r="M71" s="135" t="s">
        <v>70</v>
      </c>
      <c r="N71" s="130">
        <v>51510</v>
      </c>
      <c r="O71" s="131">
        <v>0</v>
      </c>
      <c r="P71" s="131">
        <v>1510</v>
      </c>
      <c r="Q71" s="131">
        <v>50000</v>
      </c>
      <c r="R71" s="132">
        <f t="shared" si="0"/>
        <v>3.0200000000000001E-2</v>
      </c>
      <c r="T71" s="58"/>
      <c r="U71" s="58"/>
      <c r="V71" s="58"/>
      <c r="W71" s="58"/>
      <c r="X71" s="58"/>
    </row>
    <row r="72" spans="5:24" x14ac:dyDescent="0.25">
      <c r="E72" s="71" t="s">
        <v>78</v>
      </c>
      <c r="F72" s="60">
        <v>1</v>
      </c>
      <c r="G72" s="61" t="s">
        <v>97</v>
      </c>
      <c r="H72" s="60">
        <v>2</v>
      </c>
      <c r="I72" s="62" t="s">
        <v>97</v>
      </c>
      <c r="M72" s="135" t="s">
        <v>71</v>
      </c>
      <c r="N72" s="130">
        <v>50500</v>
      </c>
      <c r="O72" s="131">
        <v>0</v>
      </c>
      <c r="P72" s="131">
        <v>500</v>
      </c>
      <c r="Q72" s="131">
        <v>50000</v>
      </c>
      <c r="R72" s="132">
        <f t="shared" si="0"/>
        <v>0.01</v>
      </c>
      <c r="T72" s="58"/>
      <c r="U72" s="58"/>
      <c r="V72" s="58"/>
      <c r="W72" s="58"/>
      <c r="X72" s="58"/>
    </row>
    <row r="73" spans="5:24" x14ac:dyDescent="0.25">
      <c r="E73" s="71" t="s">
        <v>77</v>
      </c>
      <c r="F73" s="60">
        <v>1</v>
      </c>
      <c r="G73" s="61" t="s">
        <v>97</v>
      </c>
      <c r="H73" s="60">
        <v>1</v>
      </c>
      <c r="I73" s="62" t="s">
        <v>97</v>
      </c>
      <c r="M73" s="135" t="s">
        <v>72</v>
      </c>
      <c r="N73" s="130">
        <v>51003.749999999985</v>
      </c>
      <c r="O73" s="131">
        <v>502.49999999999994</v>
      </c>
      <c r="P73" s="131">
        <v>501.25</v>
      </c>
      <c r="Q73" s="131">
        <v>50000</v>
      </c>
      <c r="R73" s="132">
        <f t="shared" si="0"/>
        <v>1.0024999999999999E-2</v>
      </c>
      <c r="T73" s="58"/>
      <c r="U73" s="58"/>
      <c r="V73" s="58"/>
      <c r="W73" s="58"/>
      <c r="X73" s="58"/>
    </row>
    <row r="74" spans="5:24" x14ac:dyDescent="0.25">
      <c r="E74" s="71" t="s">
        <v>79</v>
      </c>
      <c r="F74" s="60">
        <v>1</v>
      </c>
      <c r="G74" s="61" t="s">
        <v>97</v>
      </c>
      <c r="H74" s="60">
        <v>1</v>
      </c>
      <c r="I74" s="62" t="s">
        <v>97</v>
      </c>
      <c r="M74" s="135" t="s">
        <v>73</v>
      </c>
      <c r="N74" s="130">
        <v>50500</v>
      </c>
      <c r="O74" s="131">
        <v>0</v>
      </c>
      <c r="P74" s="131">
        <v>500</v>
      </c>
      <c r="Q74" s="131">
        <v>50000</v>
      </c>
      <c r="R74" s="132">
        <f t="shared" si="0"/>
        <v>0.01</v>
      </c>
      <c r="T74" s="58"/>
      <c r="U74" s="58"/>
      <c r="V74" s="58"/>
      <c r="W74" s="58"/>
      <c r="X74" s="58"/>
    </row>
    <row r="75" spans="5:24" x14ac:dyDescent="0.25">
      <c r="E75" s="71" t="s">
        <v>59</v>
      </c>
      <c r="F75" s="60">
        <v>1</v>
      </c>
      <c r="G75" s="61" t="s">
        <v>97</v>
      </c>
      <c r="H75" s="60">
        <v>1</v>
      </c>
      <c r="I75" s="62" t="s">
        <v>97</v>
      </c>
      <c r="M75" s="135" t="s">
        <v>75</v>
      </c>
      <c r="N75" s="130">
        <v>51003.749999999985</v>
      </c>
      <c r="O75" s="131">
        <v>502.49999999999994</v>
      </c>
      <c r="P75" s="131">
        <v>501.25</v>
      </c>
      <c r="Q75" s="131">
        <v>50000</v>
      </c>
      <c r="R75" s="132">
        <f t="shared" si="0"/>
        <v>1.0024999999999999E-2</v>
      </c>
      <c r="T75" s="58"/>
      <c r="U75" s="58"/>
      <c r="V75" s="58"/>
      <c r="W75" s="58"/>
      <c r="X75" s="58"/>
    </row>
    <row r="76" spans="5:24" x14ac:dyDescent="0.25">
      <c r="E76" s="71" t="s">
        <v>75</v>
      </c>
      <c r="F76" s="60">
        <v>1</v>
      </c>
      <c r="G76" s="61" t="s">
        <v>97</v>
      </c>
      <c r="H76" s="60">
        <v>3</v>
      </c>
      <c r="I76" s="62" t="s">
        <v>97</v>
      </c>
      <c r="M76" s="135" t="s">
        <v>76</v>
      </c>
      <c r="N76" s="130">
        <v>51003.749999999985</v>
      </c>
      <c r="O76" s="131">
        <v>502.49999999999994</v>
      </c>
      <c r="P76" s="131">
        <v>501.25</v>
      </c>
      <c r="Q76" s="131">
        <v>50000</v>
      </c>
      <c r="R76" s="132">
        <f t="shared" si="0"/>
        <v>1.0024999999999999E-2</v>
      </c>
      <c r="T76" s="58"/>
      <c r="U76" s="58"/>
      <c r="V76" s="58"/>
      <c r="W76" s="58"/>
      <c r="X76" s="58"/>
    </row>
    <row r="77" spans="5:24" x14ac:dyDescent="0.25">
      <c r="E77" s="71" t="s">
        <v>76</v>
      </c>
      <c r="F77" s="60">
        <v>1</v>
      </c>
      <c r="G77" s="61" t="s">
        <v>97</v>
      </c>
      <c r="H77" s="60">
        <v>2</v>
      </c>
      <c r="I77" s="62" t="s">
        <v>97</v>
      </c>
      <c r="M77" s="135" t="s">
        <v>77</v>
      </c>
      <c r="N77" s="130">
        <v>51003.749999999985</v>
      </c>
      <c r="O77" s="131">
        <v>502.49999999999994</v>
      </c>
      <c r="P77" s="131">
        <v>501.25</v>
      </c>
      <c r="Q77" s="131">
        <v>50000</v>
      </c>
      <c r="R77" s="132">
        <f t="shared" si="0"/>
        <v>1.0024999999999999E-2</v>
      </c>
      <c r="T77" s="58"/>
      <c r="U77" s="58"/>
      <c r="V77" s="58"/>
      <c r="W77" s="58"/>
      <c r="X77" s="58"/>
    </row>
    <row r="78" spans="5:24" x14ac:dyDescent="0.25">
      <c r="E78" s="71" t="s">
        <v>72</v>
      </c>
      <c r="F78" s="60">
        <v>1</v>
      </c>
      <c r="G78" s="61" t="s">
        <v>97</v>
      </c>
      <c r="H78" s="60">
        <v>2</v>
      </c>
      <c r="I78" s="62" t="s">
        <v>97</v>
      </c>
      <c r="M78" s="135" t="s">
        <v>78</v>
      </c>
      <c r="N78" s="130">
        <v>51003.749999999985</v>
      </c>
      <c r="O78" s="131">
        <v>502.49999999999994</v>
      </c>
      <c r="P78" s="131">
        <v>501.25</v>
      </c>
      <c r="Q78" s="131">
        <v>50000</v>
      </c>
      <c r="R78" s="132">
        <f t="shared" si="0"/>
        <v>1.0024999999999999E-2</v>
      </c>
      <c r="T78" s="58"/>
      <c r="U78" s="58"/>
      <c r="V78" s="58"/>
      <c r="W78" s="58"/>
      <c r="X78" s="58"/>
    </row>
    <row r="79" spans="5:24" x14ac:dyDescent="0.25">
      <c r="E79" s="71" t="s">
        <v>36</v>
      </c>
      <c r="F79" s="60">
        <v>1</v>
      </c>
      <c r="G79" s="61" t="s">
        <v>97</v>
      </c>
      <c r="H79" s="60">
        <v>10</v>
      </c>
      <c r="I79" s="62" t="s">
        <v>97</v>
      </c>
      <c r="M79" s="135" t="s">
        <v>79</v>
      </c>
      <c r="N79" s="130">
        <v>51003.749999999985</v>
      </c>
      <c r="O79" s="131">
        <v>502.49999999999994</v>
      </c>
      <c r="P79" s="131">
        <v>501.25</v>
      </c>
      <c r="Q79" s="131">
        <v>50000</v>
      </c>
      <c r="R79" s="132">
        <f t="shared" si="0"/>
        <v>1.0024999999999999E-2</v>
      </c>
      <c r="T79" s="58"/>
      <c r="U79" s="58"/>
      <c r="V79" s="58"/>
      <c r="W79" s="58"/>
      <c r="X79" s="58"/>
    </row>
    <row r="80" spans="5:24" ht="15.75" thickBot="1" x14ac:dyDescent="0.3">
      <c r="E80" s="72" t="s">
        <v>53</v>
      </c>
      <c r="F80" s="63">
        <v>1</v>
      </c>
      <c r="G80" s="64" t="s">
        <v>97</v>
      </c>
      <c r="H80" s="63">
        <v>3</v>
      </c>
      <c r="I80" s="65" t="s">
        <v>97</v>
      </c>
      <c r="M80" s="135" t="s">
        <v>80</v>
      </c>
      <c r="N80" s="133">
        <v>52259.999999999993</v>
      </c>
      <c r="O80" s="124">
        <v>502.49999999999994</v>
      </c>
      <c r="P80" s="124">
        <v>1757.4999999999998</v>
      </c>
      <c r="Q80" s="124">
        <v>50000</v>
      </c>
      <c r="R80" s="134">
        <f t="shared" si="0"/>
        <v>3.5149999999999994E-2</v>
      </c>
      <c r="T80" s="58"/>
      <c r="U80" s="58"/>
      <c r="V80" s="58"/>
      <c r="W80" s="58"/>
      <c r="X80" s="58"/>
    </row>
    <row r="81" spans="4:24" x14ac:dyDescent="0.25">
      <c r="D81" s="42"/>
      <c r="E81" s="42"/>
      <c r="T81" s="58"/>
      <c r="U81" s="58"/>
      <c r="V81" s="58"/>
      <c r="W81" s="58"/>
      <c r="X81" s="58"/>
    </row>
    <row r="82" spans="4:24" x14ac:dyDescent="0.25">
      <c r="D82" s="43"/>
      <c r="E82" s="42"/>
      <c r="T82" s="58"/>
      <c r="U82" s="58"/>
      <c r="V82" s="58"/>
      <c r="W82" s="58"/>
      <c r="X82" s="58"/>
    </row>
    <row r="83" spans="4:24" x14ac:dyDescent="0.25">
      <c r="E83" s="42"/>
      <c r="T83" s="58"/>
      <c r="U83" s="58"/>
      <c r="V83" s="58"/>
      <c r="W83" s="58"/>
      <c r="X83" s="58"/>
    </row>
    <row r="84" spans="4:24" x14ac:dyDescent="0.25">
      <c r="E84" s="42"/>
      <c r="T84" s="58"/>
      <c r="U84" s="58"/>
      <c r="V84" s="58"/>
      <c r="W84" s="58"/>
      <c r="X84" s="58"/>
    </row>
    <row r="85" spans="4:24" x14ac:dyDescent="0.25">
      <c r="T85" s="58"/>
      <c r="U85" s="58"/>
      <c r="V85" s="58"/>
      <c r="W85" s="58"/>
      <c r="X85" s="58"/>
    </row>
    <row r="86" spans="4:24" x14ac:dyDescent="0.25">
      <c r="O86" s="58"/>
      <c r="P86" s="58"/>
      <c r="V86" s="58"/>
      <c r="W86" s="58"/>
      <c r="X86" s="58"/>
    </row>
    <row r="87" spans="4:24" x14ac:dyDescent="0.25">
      <c r="N87" s="58"/>
      <c r="O87" s="58"/>
      <c r="P87" s="58"/>
      <c r="U87" s="58"/>
      <c r="V87" s="58"/>
      <c r="W87" s="58"/>
      <c r="X87" s="58"/>
    </row>
    <row r="89" spans="4:24" x14ac:dyDescent="0.25">
      <c r="O89" s="58"/>
      <c r="P89" s="58"/>
      <c r="V89" s="58"/>
      <c r="W89" s="58"/>
      <c r="X89" s="58"/>
    </row>
    <row r="90" spans="4:24" x14ac:dyDescent="0.25">
      <c r="N90" s="58"/>
      <c r="O90" s="58"/>
      <c r="P90" s="58"/>
      <c r="U90" s="58"/>
      <c r="V90" s="58"/>
      <c r="W90" s="58"/>
      <c r="X90" s="58"/>
    </row>
    <row r="92" spans="4:24" x14ac:dyDescent="0.25">
      <c r="O92" s="58"/>
      <c r="P92" s="58"/>
      <c r="V92" s="58"/>
      <c r="W92" s="58"/>
      <c r="X92" s="58"/>
    </row>
    <row r="93" spans="4:24" x14ac:dyDescent="0.25">
      <c r="N93" s="58"/>
      <c r="O93" s="58"/>
      <c r="P93" s="58"/>
      <c r="U93" s="58"/>
      <c r="V93" s="58"/>
      <c r="W93" s="58"/>
      <c r="X93" s="58"/>
    </row>
    <row r="95" spans="4:24" x14ac:dyDescent="0.25">
      <c r="V95" s="58"/>
      <c r="W95" s="58"/>
      <c r="X95" s="58"/>
    </row>
    <row r="96" spans="4:24" x14ac:dyDescent="0.25">
      <c r="U96" s="58"/>
      <c r="V96" s="58"/>
      <c r="W96" s="58"/>
      <c r="X96" s="58"/>
    </row>
    <row r="98" spans="21:24" x14ac:dyDescent="0.25">
      <c r="V98" s="58"/>
      <c r="W98" s="58"/>
      <c r="X98" s="58"/>
    </row>
    <row r="99" spans="21:24" x14ac:dyDescent="0.25">
      <c r="U99" s="58"/>
      <c r="V99" s="58"/>
      <c r="W99" s="58"/>
      <c r="X99" s="58"/>
    </row>
    <row r="101" spans="21:24" x14ac:dyDescent="0.25">
      <c r="V101" s="58"/>
      <c r="W101" s="58"/>
      <c r="X101" s="58"/>
    </row>
    <row r="102" spans="21:24" x14ac:dyDescent="0.25">
      <c r="U102" s="58"/>
      <c r="V102" s="58"/>
      <c r="W102" s="58"/>
      <c r="X102" s="58"/>
    </row>
  </sheetData>
  <sortState ref="E41:I80">
    <sortCondition ref="E41:E80"/>
  </sortState>
  <pageMargins left="0.7" right="0.7" top="0.75" bottom="0.75" header="0.3" footer="0.3"/>
  <pageSetup orientation="portrait" r:id="rId1"/>
  <ignoredErrors>
    <ignoredError sqref="D26:DQ26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0506-EB4A-4F6B-86CA-79600D46110A}">
  <dimension ref="A1:QG149"/>
  <sheetViews>
    <sheetView workbookViewId="0"/>
  </sheetViews>
  <sheetFormatPr baseColWidth="10" defaultRowHeight="15" x14ac:dyDescent="0.25"/>
  <cols>
    <col min="2" max="2" width="13.7109375" style="155" bestFit="1" customWidth="1"/>
    <col min="3" max="3" width="7.28515625" bestFit="1" customWidth="1"/>
    <col min="4" max="4" width="31.7109375" bestFit="1" customWidth="1"/>
    <col min="5" max="5" width="15.85546875" bestFit="1" customWidth="1"/>
    <col min="6" max="6" width="13" bestFit="1" customWidth="1"/>
    <col min="7" max="7" width="8.7109375" style="123" bestFit="1" customWidth="1"/>
    <col min="8" max="8" width="13" style="123" bestFit="1" customWidth="1"/>
    <col min="9" max="9" width="8.7109375" style="123" bestFit="1" customWidth="1"/>
    <col min="10" max="10" width="13" style="123" bestFit="1" customWidth="1"/>
    <col min="11" max="11" width="8.7109375" style="123" bestFit="1" customWidth="1"/>
    <col min="12" max="12" width="13" style="123" bestFit="1" customWidth="1"/>
    <col min="13" max="13" width="8.7109375" style="123" bestFit="1" customWidth="1"/>
    <col min="14" max="14" width="13" style="123" bestFit="1" customWidth="1"/>
    <col min="15" max="15" width="9.42578125" style="123" customWidth="1"/>
    <col min="16" max="16" width="13" style="123" bestFit="1" customWidth="1"/>
    <col min="17" max="17" width="8.7109375" style="123" bestFit="1" customWidth="1"/>
    <col min="18" max="18" width="13" style="123" bestFit="1" customWidth="1"/>
    <col min="19" max="19" width="8.7109375" style="123" bestFit="1" customWidth="1"/>
    <col min="20" max="20" width="13" style="123" bestFit="1" customWidth="1"/>
    <col min="21" max="21" width="8.7109375" style="123" bestFit="1" customWidth="1"/>
    <col min="22" max="22" width="13" style="123" bestFit="1" customWidth="1"/>
    <col min="23" max="23" width="8.7109375" style="123" bestFit="1" customWidth="1"/>
    <col min="24" max="24" width="13" style="123" bestFit="1" customWidth="1"/>
    <col min="25" max="25" width="8.7109375" style="123" bestFit="1" customWidth="1"/>
    <col min="26" max="26" width="13" style="123" bestFit="1" customWidth="1"/>
    <col min="27" max="27" width="8.7109375" style="123" bestFit="1" customWidth="1"/>
    <col min="28" max="28" width="13" style="123" bestFit="1" customWidth="1"/>
    <col min="29" max="29" width="8.7109375" style="123" bestFit="1" customWidth="1"/>
    <col min="30" max="30" width="11.85546875" style="123" bestFit="1" customWidth="1"/>
    <col min="31" max="16384" width="11.42578125" style="123"/>
  </cols>
  <sheetData>
    <row r="1" spans="1:449" s="155" customFormat="1" x14ac:dyDescent="0.25">
      <c r="A1" s="58"/>
      <c r="C1" s="58"/>
      <c r="D1" s="58"/>
      <c r="E1" s="58"/>
      <c r="F1" s="58"/>
      <c r="G1" s="123"/>
      <c r="H1" s="58"/>
      <c r="I1" s="123"/>
      <c r="J1" s="58"/>
      <c r="K1" s="123"/>
      <c r="L1" s="58"/>
      <c r="M1" s="123"/>
      <c r="N1" s="58"/>
      <c r="O1" s="123"/>
      <c r="P1" s="58"/>
      <c r="Q1" s="123"/>
      <c r="R1" s="58"/>
      <c r="S1" s="123"/>
      <c r="T1" s="58"/>
      <c r="U1" s="123"/>
      <c r="V1" s="58"/>
      <c r="W1" s="123"/>
      <c r="X1" s="58"/>
      <c r="Y1" s="123"/>
      <c r="Z1" s="58"/>
      <c r="AA1" s="123"/>
      <c r="AB1" s="58"/>
      <c r="AC1" s="123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  <c r="IW1" s="58"/>
      <c r="IX1" s="58"/>
      <c r="IY1" s="58"/>
      <c r="IZ1" s="58"/>
      <c r="JA1" s="58"/>
      <c r="JB1" s="58"/>
      <c r="JC1" s="58"/>
      <c r="JD1" s="58"/>
      <c r="JE1" s="58"/>
      <c r="JF1" s="58"/>
      <c r="JG1" s="58"/>
      <c r="JH1" s="58"/>
      <c r="JI1" s="58"/>
      <c r="JJ1" s="58"/>
      <c r="JK1" s="58"/>
      <c r="JL1" s="58"/>
      <c r="JM1" s="58"/>
      <c r="JN1" s="58"/>
      <c r="JO1" s="58"/>
      <c r="JP1" s="58"/>
      <c r="JQ1" s="58"/>
      <c r="JR1" s="58"/>
      <c r="JS1" s="58"/>
      <c r="JT1" s="58"/>
      <c r="JU1" s="58"/>
      <c r="JV1" s="58"/>
      <c r="JW1" s="58"/>
      <c r="JX1" s="58"/>
      <c r="JY1" s="58"/>
      <c r="JZ1" s="58"/>
      <c r="KA1" s="58"/>
      <c r="KB1" s="58"/>
      <c r="KC1" s="58"/>
      <c r="KD1" s="58"/>
      <c r="KE1" s="58"/>
      <c r="KF1" s="58"/>
      <c r="KG1" s="58"/>
      <c r="KH1" s="58"/>
      <c r="KI1" s="58"/>
      <c r="KJ1" s="58"/>
      <c r="KK1" s="58"/>
      <c r="KL1" s="58"/>
      <c r="KM1" s="58"/>
      <c r="KN1" s="58"/>
      <c r="KO1" s="58"/>
      <c r="KP1" s="58"/>
      <c r="KQ1" s="58"/>
      <c r="KR1" s="58"/>
      <c r="KS1" s="58"/>
      <c r="KT1" s="58"/>
      <c r="KU1" s="58"/>
      <c r="KV1" s="58"/>
      <c r="KW1" s="58"/>
      <c r="KX1" s="58"/>
      <c r="KY1" s="58"/>
      <c r="KZ1" s="58"/>
      <c r="LA1" s="58"/>
      <c r="LB1" s="58"/>
      <c r="LC1" s="58"/>
      <c r="LD1" s="58"/>
      <c r="LE1" s="58"/>
      <c r="LF1" s="58"/>
      <c r="LG1" s="58"/>
      <c r="LH1" s="58"/>
      <c r="LI1" s="58"/>
      <c r="LJ1" s="58"/>
      <c r="LK1" s="58"/>
      <c r="LL1" s="58"/>
      <c r="LM1" s="58"/>
      <c r="LN1" s="58"/>
      <c r="LO1" s="58"/>
      <c r="LP1" s="58"/>
      <c r="LQ1" s="58"/>
      <c r="LR1" s="58"/>
      <c r="LS1" s="58"/>
      <c r="LT1" s="58"/>
      <c r="LU1" s="58"/>
      <c r="LV1" s="58"/>
      <c r="LW1" s="58"/>
      <c r="LX1" s="58"/>
      <c r="LY1" s="58"/>
      <c r="LZ1" s="58"/>
      <c r="MA1" s="58"/>
      <c r="MB1" s="58"/>
      <c r="MC1" s="58"/>
      <c r="MD1" s="58"/>
      <c r="ME1" s="58"/>
      <c r="MF1" s="58"/>
      <c r="MG1" s="58"/>
      <c r="MH1" s="58"/>
      <c r="MI1" s="58"/>
      <c r="MJ1" s="58"/>
      <c r="MK1" s="58"/>
      <c r="ML1" s="58"/>
      <c r="MM1" s="58"/>
      <c r="MN1" s="58"/>
      <c r="MO1" s="58"/>
      <c r="MP1" s="58"/>
      <c r="MQ1" s="58"/>
      <c r="MR1" s="58"/>
      <c r="MS1" s="58"/>
      <c r="MT1" s="58"/>
      <c r="MU1" s="58"/>
      <c r="MV1" s="58"/>
      <c r="MW1" s="58"/>
      <c r="MX1" s="58"/>
      <c r="MY1" s="58"/>
      <c r="MZ1" s="58"/>
      <c r="NA1" s="58"/>
      <c r="NB1" s="58"/>
      <c r="NC1" s="58"/>
      <c r="ND1" s="58"/>
      <c r="NE1" s="58"/>
      <c r="NF1" s="58"/>
      <c r="NG1" s="58"/>
      <c r="NH1" s="58"/>
      <c r="NI1" s="58"/>
      <c r="NJ1" s="58"/>
      <c r="NK1" s="58"/>
      <c r="NL1" s="58"/>
      <c r="NM1" s="58"/>
      <c r="NN1" s="58"/>
      <c r="NO1" s="58"/>
      <c r="NP1" s="58"/>
      <c r="NQ1" s="58"/>
      <c r="NR1" s="58"/>
      <c r="NS1" s="58"/>
      <c r="NT1" s="58"/>
      <c r="NU1" s="58"/>
      <c r="NV1" s="58"/>
      <c r="NW1" s="58"/>
      <c r="NX1" s="58"/>
      <c r="NY1" s="58"/>
      <c r="NZ1" s="58"/>
      <c r="OA1" s="58"/>
      <c r="OB1" s="58"/>
      <c r="OC1" s="58"/>
      <c r="OD1" s="58"/>
      <c r="OE1" s="58"/>
      <c r="OF1" s="58"/>
      <c r="OG1" s="58"/>
      <c r="OH1" s="58"/>
      <c r="OI1" s="58"/>
      <c r="OJ1" s="58"/>
      <c r="OK1" s="58"/>
      <c r="OL1" s="58"/>
      <c r="OM1" s="58"/>
      <c r="ON1" s="58"/>
      <c r="OO1" s="58"/>
      <c r="OP1" s="58"/>
      <c r="OQ1" s="58"/>
      <c r="OR1" s="58"/>
      <c r="OS1" s="58"/>
      <c r="OT1" s="58"/>
      <c r="OU1" s="58"/>
      <c r="OV1" s="58"/>
      <c r="OW1" s="58"/>
      <c r="OX1" s="58"/>
      <c r="OY1" s="58"/>
      <c r="OZ1" s="58"/>
      <c r="PA1" s="58"/>
      <c r="PB1" s="58"/>
      <c r="PC1" s="58"/>
      <c r="PD1" s="58"/>
      <c r="PE1" s="58"/>
      <c r="PF1" s="58"/>
      <c r="PG1" s="58"/>
      <c r="PH1" s="58"/>
      <c r="PI1" s="58"/>
      <c r="PJ1" s="58"/>
      <c r="PK1" s="58"/>
      <c r="PL1" s="58"/>
      <c r="PM1" s="58"/>
      <c r="PN1" s="58"/>
      <c r="PO1" s="58"/>
      <c r="PP1" s="58"/>
      <c r="PQ1" s="58"/>
      <c r="PR1" s="58"/>
      <c r="PS1" s="58"/>
      <c r="PT1" s="58"/>
      <c r="PU1" s="58"/>
      <c r="PV1" s="58"/>
      <c r="PW1" s="58"/>
      <c r="PX1" s="58"/>
      <c r="PY1" s="58"/>
      <c r="PZ1" s="58"/>
      <c r="QA1" s="58"/>
      <c r="QB1" s="58"/>
      <c r="QC1" s="58"/>
      <c r="QD1" s="58"/>
      <c r="QE1" s="58"/>
      <c r="QF1" s="58"/>
      <c r="QG1" s="58"/>
    </row>
    <row r="2" spans="1:449" s="155" customFormat="1" ht="15.75" thickBot="1" x14ac:dyDescent="0.3">
      <c r="A2"/>
      <c r="C2"/>
      <c r="D2"/>
      <c r="E2"/>
      <c r="F2" s="292" t="s">
        <v>247</v>
      </c>
      <c r="G2" s="292"/>
      <c r="H2" s="292" t="s">
        <v>248</v>
      </c>
      <c r="I2" s="292"/>
      <c r="J2" s="292" t="s">
        <v>249</v>
      </c>
      <c r="K2" s="292"/>
      <c r="L2" s="292" t="s">
        <v>250</v>
      </c>
      <c r="M2" s="292"/>
      <c r="N2" s="292" t="s">
        <v>251</v>
      </c>
      <c r="O2" s="292"/>
      <c r="P2" s="292" t="s">
        <v>252</v>
      </c>
      <c r="Q2" s="292"/>
      <c r="R2" s="292" t="s">
        <v>253</v>
      </c>
      <c r="S2" s="292"/>
      <c r="T2" s="292" t="s">
        <v>254</v>
      </c>
      <c r="U2" s="292"/>
      <c r="V2" s="292" t="s">
        <v>255</v>
      </c>
      <c r="W2" s="292"/>
      <c r="X2" s="292" t="s">
        <v>256</v>
      </c>
      <c r="Y2" s="292"/>
      <c r="Z2" s="292" t="s">
        <v>257</v>
      </c>
      <c r="AA2" s="292"/>
      <c r="AB2" s="292" t="s">
        <v>258</v>
      </c>
      <c r="AC2" s="29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</row>
    <row r="3" spans="1:449" s="155" customFormat="1" ht="15.75" thickBot="1" x14ac:dyDescent="0.3">
      <c r="A3" s="157" t="s">
        <v>5</v>
      </c>
      <c r="B3" s="157" t="s">
        <v>262</v>
      </c>
      <c r="C3" s="157" t="s">
        <v>246</v>
      </c>
      <c r="D3" s="157" t="s">
        <v>263</v>
      </c>
      <c r="E3" s="157" t="s">
        <v>261</v>
      </c>
      <c r="F3" s="170" t="s">
        <v>259</v>
      </c>
      <c r="G3" s="171" t="s">
        <v>260</v>
      </c>
      <c r="H3" s="170" t="s">
        <v>259</v>
      </c>
      <c r="I3" s="171" t="s">
        <v>260</v>
      </c>
      <c r="J3" s="170" t="s">
        <v>259</v>
      </c>
      <c r="K3" s="171" t="s">
        <v>260</v>
      </c>
      <c r="L3" s="170" t="s">
        <v>259</v>
      </c>
      <c r="M3" s="171" t="s">
        <v>260</v>
      </c>
      <c r="N3" s="170" t="s">
        <v>259</v>
      </c>
      <c r="O3" s="171" t="s">
        <v>260</v>
      </c>
      <c r="P3" s="170" t="s">
        <v>259</v>
      </c>
      <c r="Q3" s="171" t="s">
        <v>260</v>
      </c>
      <c r="R3" s="170" t="s">
        <v>259</v>
      </c>
      <c r="S3" s="171" t="s">
        <v>260</v>
      </c>
      <c r="T3" s="170" t="s">
        <v>259</v>
      </c>
      <c r="U3" s="171" t="s">
        <v>260</v>
      </c>
      <c r="V3" s="170" t="s">
        <v>259</v>
      </c>
      <c r="W3" s="171" t="s">
        <v>260</v>
      </c>
      <c r="X3" s="170" t="s">
        <v>259</v>
      </c>
      <c r="Y3" s="171" t="s">
        <v>260</v>
      </c>
      <c r="Z3" s="170" t="s">
        <v>259</v>
      </c>
      <c r="AA3" s="171" t="s">
        <v>260</v>
      </c>
      <c r="AB3" s="170" t="s">
        <v>259</v>
      </c>
      <c r="AC3" s="171" t="s">
        <v>260</v>
      </c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</row>
    <row r="4" spans="1:449" s="156" customFormat="1" x14ac:dyDescent="0.25">
      <c r="A4" s="158" t="s">
        <v>3</v>
      </c>
      <c r="B4" s="161">
        <f>+(VLOOKUP(A4,'Ejercicio 1'!$M$40:$R$80,2,FALSE))*VLOOKUP(A4,'Ejercicio 1'!$E$40:$I$80,4,FALSE)</f>
        <v>77265</v>
      </c>
      <c r="C4" s="162" t="str">
        <f>+VLOOKUP(A4,'Ejercicio 1'!$E$40:$I$80,5,FALSE)</f>
        <v>kg</v>
      </c>
      <c r="D4" s="163">
        <f>+(VLOOKUP(A4,'Ejercicio 1'!$M$40:$R$80,4,FALSE)+VLOOKUP(A4,'Ejercicio 1'!$M$40:$R$80,5,FALSE))*VLOOKUP(A4,'Ejercicio 1'!$E$40:$I$80,4,FALSE)/11</f>
        <v>7024.090909090909</v>
      </c>
      <c r="E4" s="167">
        <v>4</v>
      </c>
      <c r="F4" s="197">
        <f>2000+G4</f>
        <v>2000</v>
      </c>
      <c r="G4" s="198"/>
      <c r="H4" s="197">
        <f>+F4+I4-$D4</f>
        <v>14292.159090909092</v>
      </c>
      <c r="I4" s="198">
        <f t="shared" ref="I4:I8" si="0">+$B4/$E4</f>
        <v>19316.25</v>
      </c>
      <c r="J4" s="197">
        <f t="shared" ref="J4:J42" si="1">+H4+K4-$D4</f>
        <v>7268.0681818181829</v>
      </c>
      <c r="K4" s="198"/>
      <c r="L4" s="197">
        <f t="shared" ref="L4:L42" si="2">+J4+M4-$D4</f>
        <v>243.97727272727388</v>
      </c>
      <c r="M4" s="198"/>
      <c r="N4" s="197">
        <f t="shared" ref="N4:N42" si="3">+L4+O4-$D4</f>
        <v>12536.136363636364</v>
      </c>
      <c r="O4" s="198">
        <f t="shared" ref="O4:O8" si="4">+$B4/$E4</f>
        <v>19316.25</v>
      </c>
      <c r="P4" s="197">
        <f t="shared" ref="P4:P42" si="5">+N4+Q4-$D4</f>
        <v>5512.045454545455</v>
      </c>
      <c r="Q4" s="198"/>
      <c r="R4" s="197">
        <f t="shared" ref="R4:R42" si="6">+P4+S4-$D4</f>
        <v>17804.204545454548</v>
      </c>
      <c r="S4" s="198">
        <f t="shared" ref="S4:S8" si="7">+$B4/$E4</f>
        <v>19316.25</v>
      </c>
      <c r="T4" s="197">
        <f t="shared" ref="T4:T42" si="8">+R4+U4-$D4</f>
        <v>10780.11363636364</v>
      </c>
      <c r="U4" s="198"/>
      <c r="V4" s="197">
        <f t="shared" ref="V4:V42" si="9">+T4+W4-$D4</f>
        <v>3756.0227272727307</v>
      </c>
      <c r="W4" s="198"/>
      <c r="X4" s="197">
        <f t="shared" ref="X4:X42" si="10">+V4+Y4-$D4</f>
        <v>16048.181818181823</v>
      </c>
      <c r="Y4" s="198">
        <f t="shared" ref="Y4:Y8" si="11">+$B4/$E4</f>
        <v>19316.25</v>
      </c>
      <c r="Z4" s="197">
        <f t="shared" ref="Z4:AB42" si="12">+X4+AA4-$D4</f>
        <v>9024.0909090909154</v>
      </c>
      <c r="AA4" s="198"/>
      <c r="AB4" s="197">
        <f t="shared" si="12"/>
        <v>21316.250000000007</v>
      </c>
      <c r="AC4" s="198">
        <f t="shared" ref="AC4:AC8" si="13">+$B4/$E4</f>
        <v>19316.25</v>
      </c>
      <c r="AD4" s="58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  <c r="IW4" s="123"/>
      <c r="IX4" s="123"/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  <c r="JL4" s="123"/>
      <c r="JM4" s="123"/>
      <c r="JN4" s="123"/>
      <c r="JO4" s="123"/>
      <c r="JP4" s="123"/>
      <c r="JQ4" s="123"/>
      <c r="JR4" s="123"/>
      <c r="JS4" s="123"/>
      <c r="JT4" s="123"/>
      <c r="JU4" s="123"/>
      <c r="JV4" s="123"/>
      <c r="JW4" s="123"/>
      <c r="JX4" s="123"/>
      <c r="JY4" s="123"/>
      <c r="JZ4" s="123"/>
      <c r="KA4" s="123"/>
      <c r="KB4" s="123"/>
      <c r="KC4" s="123"/>
      <c r="KD4" s="123"/>
      <c r="KE4" s="123"/>
      <c r="KF4" s="123"/>
      <c r="KG4" s="123"/>
      <c r="KH4" s="123"/>
      <c r="KI4" s="123"/>
      <c r="KJ4" s="123"/>
      <c r="KK4" s="123"/>
      <c r="KL4" s="123"/>
      <c r="KM4" s="123"/>
      <c r="KN4" s="123"/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3"/>
      <c r="LF4" s="123"/>
      <c r="LG4" s="123"/>
      <c r="LH4" s="123"/>
      <c r="LI4" s="123"/>
      <c r="LJ4" s="123"/>
      <c r="LK4" s="123"/>
      <c r="LL4" s="123"/>
      <c r="LM4" s="123"/>
      <c r="LN4" s="123"/>
      <c r="LO4" s="123"/>
      <c r="LP4" s="123"/>
      <c r="LQ4" s="123"/>
      <c r="LR4" s="123"/>
      <c r="LS4" s="123"/>
      <c r="LT4" s="123"/>
      <c r="LU4" s="123"/>
      <c r="LV4" s="123"/>
      <c r="LW4" s="123"/>
      <c r="LX4" s="123"/>
      <c r="LY4" s="123"/>
      <c r="LZ4" s="123"/>
      <c r="MA4" s="123"/>
      <c r="MB4" s="123"/>
      <c r="MC4" s="123"/>
      <c r="MD4" s="123"/>
      <c r="ME4" s="123"/>
      <c r="MF4" s="123"/>
      <c r="MG4" s="123"/>
      <c r="MH4" s="123"/>
      <c r="MI4" s="123"/>
      <c r="MJ4" s="123"/>
      <c r="MK4" s="123"/>
      <c r="ML4" s="123"/>
      <c r="MM4" s="123"/>
      <c r="MN4" s="123"/>
      <c r="MO4" s="123"/>
      <c r="MP4" s="123"/>
      <c r="MQ4" s="123"/>
      <c r="MR4" s="123"/>
      <c r="MS4" s="123"/>
      <c r="MT4" s="123"/>
      <c r="MU4" s="123"/>
      <c r="MV4" s="123"/>
      <c r="MW4" s="123"/>
      <c r="MX4" s="123"/>
      <c r="MY4" s="123"/>
      <c r="MZ4" s="123"/>
      <c r="NA4" s="123"/>
      <c r="NB4" s="123"/>
      <c r="NC4" s="123"/>
      <c r="ND4" s="123"/>
      <c r="NE4" s="123"/>
      <c r="NF4" s="123"/>
      <c r="NG4" s="123"/>
      <c r="NH4" s="123"/>
      <c r="NI4" s="123"/>
      <c r="NJ4" s="123"/>
      <c r="NK4" s="123"/>
      <c r="NL4" s="123"/>
      <c r="NM4" s="123"/>
      <c r="NN4" s="123"/>
      <c r="NO4" s="123"/>
      <c r="NP4" s="123"/>
      <c r="NQ4" s="123"/>
      <c r="NR4" s="123"/>
      <c r="NS4" s="123"/>
      <c r="NT4" s="123"/>
      <c r="NU4" s="123"/>
      <c r="NV4" s="123"/>
      <c r="NW4" s="123"/>
      <c r="NX4" s="123"/>
      <c r="NY4" s="123"/>
      <c r="NZ4" s="123"/>
      <c r="OA4" s="123"/>
      <c r="OB4" s="123"/>
      <c r="OC4" s="123"/>
      <c r="OD4" s="123"/>
      <c r="OE4" s="123"/>
      <c r="OF4" s="123"/>
      <c r="OG4" s="123"/>
      <c r="OH4" s="123"/>
      <c r="OI4" s="123"/>
      <c r="OJ4" s="123"/>
      <c r="OK4" s="123"/>
      <c r="OL4" s="123"/>
      <c r="OM4" s="123"/>
      <c r="ON4" s="123"/>
      <c r="OO4" s="123"/>
      <c r="OP4" s="123"/>
      <c r="OQ4" s="123"/>
      <c r="OR4" s="123"/>
      <c r="OS4" s="123"/>
      <c r="OT4" s="123"/>
      <c r="OU4" s="123"/>
      <c r="OV4" s="123"/>
      <c r="OW4" s="123"/>
      <c r="OX4" s="123"/>
      <c r="OY4" s="123"/>
      <c r="OZ4" s="123"/>
      <c r="PA4" s="123"/>
      <c r="PB4" s="123"/>
      <c r="PC4" s="123"/>
      <c r="PD4" s="123"/>
      <c r="PE4" s="123"/>
      <c r="PF4" s="123"/>
      <c r="PG4" s="123"/>
      <c r="PH4" s="123"/>
      <c r="PI4" s="123"/>
      <c r="PJ4" s="123"/>
      <c r="PK4" s="123"/>
      <c r="PL4" s="123"/>
      <c r="PM4" s="123"/>
      <c r="PN4" s="123"/>
      <c r="PO4" s="123"/>
      <c r="PP4" s="123"/>
      <c r="PQ4" s="123"/>
      <c r="PR4" s="123"/>
      <c r="PS4" s="123"/>
      <c r="PT4" s="123"/>
      <c r="PU4" s="123"/>
      <c r="PV4" s="123"/>
      <c r="PW4" s="123"/>
      <c r="PX4" s="123"/>
      <c r="PY4" s="123"/>
      <c r="PZ4" s="123"/>
      <c r="QA4" s="123"/>
      <c r="QB4" s="123"/>
      <c r="QC4" s="123"/>
      <c r="QD4" s="123"/>
      <c r="QE4" s="123"/>
      <c r="QF4" s="123"/>
      <c r="QG4" s="123"/>
    </row>
    <row r="5" spans="1:449" s="156" customFormat="1" x14ac:dyDescent="0.25">
      <c r="A5" s="159" t="s">
        <v>6</v>
      </c>
      <c r="B5" s="164">
        <f>+(VLOOKUP(A5,'Ejercicio 1'!$M$40:$R$80,2,FALSE))*VLOOKUP(A5,'Ejercicio 1'!$E$40:$I$80,4,FALSE)</f>
        <v>50500</v>
      </c>
      <c r="C5" s="61" t="str">
        <f>+VLOOKUP(A5,'Ejercicio 1'!$E$40:$I$80,5,FALSE)</f>
        <v>u</v>
      </c>
      <c r="D5" s="160">
        <f>+(VLOOKUP(A5,'Ejercicio 1'!$M$40:$R$80,4,FALSE)+VLOOKUP(A5,'Ejercicio 1'!$M$40:$R$80,5,FALSE))*VLOOKUP(A5,'Ejercicio 1'!$E$40:$I$80,4,FALSE)/11</f>
        <v>4590.909090909091</v>
      </c>
      <c r="E5" s="168">
        <v>4</v>
      </c>
      <c r="F5" s="199">
        <f>1500+G5</f>
        <v>1500</v>
      </c>
      <c r="G5" s="200"/>
      <c r="H5" s="199">
        <f t="shared" ref="H5:H42" si="14">+F5+I5-$D5</f>
        <v>9534.0909090909081</v>
      </c>
      <c r="I5" s="200">
        <f t="shared" si="0"/>
        <v>12625</v>
      </c>
      <c r="J5" s="199">
        <f t="shared" si="1"/>
        <v>4943.1818181818171</v>
      </c>
      <c r="K5" s="200"/>
      <c r="L5" s="199">
        <f t="shared" si="2"/>
        <v>352.27272727272612</v>
      </c>
      <c r="M5" s="200"/>
      <c r="N5" s="199">
        <f t="shared" si="3"/>
        <v>8386.363636363636</v>
      </c>
      <c r="O5" s="200">
        <f t="shared" si="4"/>
        <v>12625</v>
      </c>
      <c r="P5" s="199">
        <f t="shared" si="5"/>
        <v>3795.454545454545</v>
      </c>
      <c r="Q5" s="200"/>
      <c r="R5" s="199">
        <f t="shared" si="6"/>
        <v>11829.545454545452</v>
      </c>
      <c r="S5" s="200">
        <f t="shared" si="7"/>
        <v>12625</v>
      </c>
      <c r="T5" s="199">
        <f t="shared" si="8"/>
        <v>7238.6363636363612</v>
      </c>
      <c r="U5" s="200"/>
      <c r="V5" s="199">
        <f t="shared" si="9"/>
        <v>2647.7272727272702</v>
      </c>
      <c r="W5" s="200"/>
      <c r="X5" s="199">
        <f t="shared" si="10"/>
        <v>10681.81818181818</v>
      </c>
      <c r="Y5" s="200">
        <f t="shared" si="11"/>
        <v>12625</v>
      </c>
      <c r="Z5" s="199">
        <f t="shared" si="12"/>
        <v>6090.9090909090892</v>
      </c>
      <c r="AA5" s="200"/>
      <c r="AB5" s="199">
        <f t="shared" si="12"/>
        <v>14124.999999999996</v>
      </c>
      <c r="AC5" s="200">
        <f t="shared" si="13"/>
        <v>12625</v>
      </c>
      <c r="AD5" s="125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  <c r="IW5" s="123"/>
      <c r="IX5" s="123"/>
      <c r="IY5" s="123"/>
      <c r="IZ5" s="123"/>
      <c r="JA5" s="123"/>
      <c r="JB5" s="123"/>
      <c r="JC5" s="123"/>
      <c r="JD5" s="123"/>
      <c r="JE5" s="123"/>
      <c r="JF5" s="123"/>
      <c r="JG5" s="123"/>
      <c r="JH5" s="123"/>
      <c r="JI5" s="123"/>
      <c r="JJ5" s="123"/>
      <c r="JK5" s="123"/>
      <c r="JL5" s="123"/>
      <c r="JM5" s="123"/>
      <c r="JN5" s="123"/>
      <c r="JO5" s="123"/>
      <c r="JP5" s="123"/>
      <c r="JQ5" s="123"/>
      <c r="JR5" s="123"/>
      <c r="JS5" s="123"/>
      <c r="JT5" s="123"/>
      <c r="JU5" s="123"/>
      <c r="JV5" s="123"/>
      <c r="JW5" s="123"/>
      <c r="JX5" s="123"/>
      <c r="JY5" s="123"/>
      <c r="JZ5" s="123"/>
      <c r="KA5" s="123"/>
      <c r="KB5" s="123"/>
      <c r="KC5" s="123"/>
      <c r="KD5" s="123"/>
      <c r="KE5" s="123"/>
      <c r="KF5" s="123"/>
      <c r="KG5" s="123"/>
      <c r="KH5" s="123"/>
      <c r="KI5" s="123"/>
      <c r="KJ5" s="123"/>
      <c r="KK5" s="123"/>
      <c r="KL5" s="123"/>
      <c r="KM5" s="123"/>
      <c r="KN5" s="123"/>
      <c r="KO5" s="123"/>
      <c r="KP5" s="123"/>
      <c r="KQ5" s="123"/>
      <c r="KR5" s="123"/>
      <c r="KS5" s="123"/>
      <c r="KT5" s="123"/>
      <c r="KU5" s="123"/>
      <c r="KV5" s="123"/>
      <c r="KW5" s="123"/>
      <c r="KX5" s="123"/>
      <c r="KY5" s="123"/>
      <c r="KZ5" s="123"/>
      <c r="LA5" s="123"/>
      <c r="LB5" s="123"/>
      <c r="LC5" s="123"/>
      <c r="LD5" s="123"/>
      <c r="LE5" s="123"/>
      <c r="LF5" s="123"/>
      <c r="LG5" s="123"/>
      <c r="LH5" s="123"/>
      <c r="LI5" s="123"/>
      <c r="LJ5" s="123"/>
      <c r="LK5" s="123"/>
      <c r="LL5" s="123"/>
      <c r="LM5" s="123"/>
      <c r="LN5" s="123"/>
      <c r="LO5" s="123"/>
      <c r="LP5" s="123"/>
      <c r="LQ5" s="123"/>
      <c r="LR5" s="123"/>
      <c r="LS5" s="123"/>
      <c r="LT5" s="123"/>
      <c r="LU5" s="123"/>
      <c r="LV5" s="123"/>
      <c r="LW5" s="123"/>
      <c r="LX5" s="123"/>
      <c r="LY5" s="123"/>
      <c r="LZ5" s="123"/>
      <c r="MA5" s="123"/>
      <c r="MB5" s="123"/>
      <c r="MC5" s="123"/>
      <c r="MD5" s="123"/>
      <c r="ME5" s="123"/>
      <c r="MF5" s="123"/>
      <c r="MG5" s="123"/>
      <c r="MH5" s="123"/>
      <c r="MI5" s="123"/>
      <c r="MJ5" s="123"/>
      <c r="MK5" s="123"/>
      <c r="ML5" s="123"/>
      <c r="MM5" s="123"/>
      <c r="MN5" s="123"/>
      <c r="MO5" s="123"/>
      <c r="MP5" s="123"/>
      <c r="MQ5" s="123"/>
      <c r="MR5" s="123"/>
      <c r="MS5" s="123"/>
      <c r="MT5" s="123"/>
      <c r="MU5" s="123"/>
      <c r="MV5" s="123"/>
      <c r="MW5" s="123"/>
      <c r="MX5" s="123"/>
      <c r="MY5" s="123"/>
      <c r="MZ5" s="123"/>
      <c r="NA5" s="123"/>
      <c r="NB5" s="123"/>
      <c r="NC5" s="123"/>
      <c r="ND5" s="123"/>
      <c r="NE5" s="123"/>
      <c r="NF5" s="123"/>
      <c r="NG5" s="123"/>
      <c r="NH5" s="123"/>
      <c r="NI5" s="123"/>
      <c r="NJ5" s="123"/>
      <c r="NK5" s="123"/>
      <c r="NL5" s="123"/>
      <c r="NM5" s="123"/>
      <c r="NN5" s="123"/>
      <c r="NO5" s="123"/>
      <c r="NP5" s="123"/>
      <c r="NQ5" s="123"/>
      <c r="NR5" s="123"/>
      <c r="NS5" s="123"/>
      <c r="NT5" s="123"/>
      <c r="NU5" s="123"/>
      <c r="NV5" s="123"/>
      <c r="NW5" s="123"/>
      <c r="NX5" s="123"/>
      <c r="NY5" s="123"/>
      <c r="NZ5" s="123"/>
      <c r="OA5" s="123"/>
      <c r="OB5" s="123"/>
      <c r="OC5" s="123"/>
      <c r="OD5" s="123"/>
      <c r="OE5" s="123"/>
      <c r="OF5" s="123"/>
      <c r="OG5" s="123"/>
      <c r="OH5" s="123"/>
      <c r="OI5" s="123"/>
      <c r="OJ5" s="123"/>
      <c r="OK5" s="123"/>
      <c r="OL5" s="123"/>
      <c r="OM5" s="123"/>
      <c r="ON5" s="123"/>
      <c r="OO5" s="123"/>
      <c r="OP5" s="123"/>
      <c r="OQ5" s="123"/>
      <c r="OR5" s="123"/>
      <c r="OS5" s="123"/>
      <c r="OT5" s="123"/>
      <c r="OU5" s="123"/>
      <c r="OV5" s="123"/>
      <c r="OW5" s="123"/>
      <c r="OX5" s="123"/>
      <c r="OY5" s="123"/>
      <c r="OZ5" s="123"/>
      <c r="PA5" s="123"/>
      <c r="PB5" s="123"/>
      <c r="PC5" s="123"/>
      <c r="PD5" s="123"/>
      <c r="PE5" s="123"/>
      <c r="PF5" s="123"/>
      <c r="PG5" s="123"/>
      <c r="PH5" s="123"/>
      <c r="PI5" s="123"/>
      <c r="PJ5" s="123"/>
      <c r="PK5" s="123"/>
      <c r="PL5" s="123"/>
      <c r="PM5" s="123"/>
      <c r="PN5" s="123"/>
      <c r="PO5" s="123"/>
      <c r="PP5" s="123"/>
      <c r="PQ5" s="123"/>
      <c r="PR5" s="123"/>
      <c r="PS5" s="123"/>
      <c r="PT5" s="123"/>
      <c r="PU5" s="123"/>
      <c r="PV5" s="123"/>
      <c r="PW5" s="123"/>
      <c r="PX5" s="123"/>
      <c r="PY5" s="123"/>
      <c r="PZ5" s="123"/>
      <c r="QA5" s="123"/>
      <c r="QB5" s="123"/>
      <c r="QC5" s="123"/>
      <c r="QD5" s="123"/>
      <c r="QE5" s="123"/>
      <c r="QF5" s="123"/>
      <c r="QG5" s="123"/>
    </row>
    <row r="6" spans="1:449" s="156" customFormat="1" ht="30" x14ac:dyDescent="0.25">
      <c r="A6" s="159" t="s">
        <v>34</v>
      </c>
      <c r="B6" s="164">
        <f>+(VLOOKUP(A6,'Ejercicio 1'!$M$40:$R$80,2,FALSE))*VLOOKUP(A6,'Ejercicio 1'!$E$40:$I$80,4,FALSE)</f>
        <v>51000</v>
      </c>
      <c r="C6" s="61" t="str">
        <f>+VLOOKUP(A6,'Ejercicio 1'!$E$40:$I$80,5,FALSE)</f>
        <v>u</v>
      </c>
      <c r="D6" s="160">
        <f>+(VLOOKUP(A6,'Ejercicio 1'!$M$40:$R$80,4,FALSE)+VLOOKUP(A6,'Ejercicio 1'!$M$40:$R$80,5,FALSE))*VLOOKUP(A6,'Ejercicio 1'!$E$40:$I$80,4,FALSE)/11</f>
        <v>4636.363636363636</v>
      </c>
      <c r="E6" s="168">
        <v>4</v>
      </c>
      <c r="F6" s="199">
        <f>1600+G6</f>
        <v>1600</v>
      </c>
      <c r="G6" s="200"/>
      <c r="H6" s="199">
        <f t="shared" si="14"/>
        <v>9713.636363636364</v>
      </c>
      <c r="I6" s="200">
        <f t="shared" si="0"/>
        <v>12750</v>
      </c>
      <c r="J6" s="199">
        <f t="shared" si="1"/>
        <v>5077.2727272727279</v>
      </c>
      <c r="K6" s="200"/>
      <c r="L6" s="199">
        <f t="shared" si="2"/>
        <v>440.9090909090919</v>
      </c>
      <c r="M6" s="200"/>
      <c r="N6" s="199">
        <f t="shared" si="3"/>
        <v>8554.5454545454559</v>
      </c>
      <c r="O6" s="200">
        <f t="shared" si="4"/>
        <v>12750</v>
      </c>
      <c r="P6" s="199">
        <f t="shared" si="5"/>
        <v>3918.1818181818198</v>
      </c>
      <c r="Q6" s="200"/>
      <c r="R6" s="199">
        <f t="shared" si="6"/>
        <v>12031.818181818184</v>
      </c>
      <c r="S6" s="200">
        <f t="shared" si="7"/>
        <v>12750</v>
      </c>
      <c r="T6" s="199">
        <f t="shared" si="8"/>
        <v>7395.4545454545478</v>
      </c>
      <c r="U6" s="200"/>
      <c r="V6" s="199">
        <f t="shared" si="9"/>
        <v>2759.0909090909117</v>
      </c>
      <c r="W6" s="200"/>
      <c r="X6" s="199">
        <f t="shared" si="10"/>
        <v>10872.727272727276</v>
      </c>
      <c r="Y6" s="200">
        <f t="shared" si="11"/>
        <v>12750</v>
      </c>
      <c r="Z6" s="199">
        <f t="shared" si="12"/>
        <v>6236.3636363636397</v>
      </c>
      <c r="AA6" s="200"/>
      <c r="AB6" s="199">
        <f t="shared" si="12"/>
        <v>14350.000000000004</v>
      </c>
      <c r="AC6" s="200">
        <f t="shared" si="13"/>
        <v>12750</v>
      </c>
      <c r="AD6" s="125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  <c r="IW6" s="123"/>
      <c r="IX6" s="123"/>
      <c r="IY6" s="123"/>
      <c r="IZ6" s="123"/>
      <c r="JA6" s="123"/>
      <c r="JB6" s="123"/>
      <c r="JC6" s="123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3"/>
      <c r="JT6" s="123"/>
      <c r="JU6" s="123"/>
      <c r="JV6" s="123"/>
      <c r="JW6" s="123"/>
      <c r="JX6" s="123"/>
      <c r="JY6" s="123"/>
      <c r="JZ6" s="123"/>
      <c r="KA6" s="123"/>
      <c r="KB6" s="123"/>
      <c r="KC6" s="123"/>
      <c r="KD6" s="123"/>
      <c r="KE6" s="123"/>
      <c r="KF6" s="123"/>
      <c r="KG6" s="123"/>
      <c r="KH6" s="123"/>
      <c r="KI6" s="123"/>
      <c r="KJ6" s="123"/>
      <c r="KK6" s="123"/>
      <c r="KL6" s="123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3"/>
      <c r="LC6" s="123"/>
      <c r="LD6" s="123"/>
      <c r="LE6" s="123"/>
      <c r="LF6" s="123"/>
      <c r="LG6" s="123"/>
      <c r="LH6" s="123"/>
      <c r="LI6" s="123"/>
      <c r="LJ6" s="123"/>
      <c r="LK6" s="123"/>
      <c r="LL6" s="123"/>
      <c r="LM6" s="123"/>
      <c r="LN6" s="123"/>
      <c r="LO6" s="123"/>
      <c r="LP6" s="123"/>
      <c r="LQ6" s="123"/>
      <c r="LR6" s="123"/>
      <c r="LS6" s="123"/>
      <c r="LT6" s="123"/>
      <c r="LU6" s="123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3"/>
      <c r="ML6" s="123"/>
      <c r="MM6" s="123"/>
      <c r="MN6" s="123"/>
      <c r="MO6" s="123"/>
      <c r="MP6" s="123"/>
      <c r="MQ6" s="123"/>
      <c r="MR6" s="123"/>
      <c r="MS6" s="123"/>
      <c r="MT6" s="123"/>
      <c r="MU6" s="123"/>
      <c r="MV6" s="123"/>
      <c r="MW6" s="123"/>
      <c r="MX6" s="123"/>
      <c r="MY6" s="123"/>
      <c r="MZ6" s="123"/>
      <c r="NA6" s="123"/>
      <c r="NB6" s="123"/>
      <c r="NC6" s="123"/>
      <c r="ND6" s="123"/>
      <c r="NE6" s="123"/>
      <c r="NF6" s="123"/>
      <c r="NG6" s="123"/>
      <c r="NH6" s="123"/>
      <c r="NI6" s="123"/>
      <c r="NJ6" s="123"/>
      <c r="NK6" s="123"/>
      <c r="NL6" s="123"/>
      <c r="NM6" s="123"/>
      <c r="NN6" s="123"/>
      <c r="NO6" s="123"/>
      <c r="NP6" s="123"/>
      <c r="NQ6" s="123"/>
      <c r="NR6" s="123"/>
      <c r="NS6" s="123"/>
      <c r="NT6" s="123"/>
      <c r="NU6" s="123"/>
      <c r="NV6" s="123"/>
      <c r="NW6" s="123"/>
      <c r="NX6" s="123"/>
      <c r="NY6" s="123"/>
      <c r="NZ6" s="123"/>
      <c r="OA6" s="123"/>
      <c r="OB6" s="123"/>
      <c r="OC6" s="123"/>
      <c r="OD6" s="123"/>
      <c r="OE6" s="123"/>
      <c r="OF6" s="123"/>
      <c r="OG6" s="123"/>
      <c r="OH6" s="123"/>
      <c r="OI6" s="123"/>
      <c r="OJ6" s="123"/>
      <c r="OK6" s="123"/>
      <c r="OL6" s="123"/>
      <c r="OM6" s="123"/>
      <c r="ON6" s="123"/>
      <c r="OO6" s="123"/>
      <c r="OP6" s="123"/>
      <c r="OQ6" s="123"/>
      <c r="OR6" s="123"/>
      <c r="OS6" s="123"/>
      <c r="OT6" s="123"/>
      <c r="OU6" s="123"/>
      <c r="OV6" s="123"/>
      <c r="OW6" s="123"/>
      <c r="OX6" s="123"/>
      <c r="OY6" s="123"/>
      <c r="OZ6" s="123"/>
      <c r="PA6" s="123"/>
      <c r="PB6" s="123"/>
      <c r="PC6" s="123"/>
      <c r="PD6" s="123"/>
      <c r="PE6" s="123"/>
      <c r="PF6" s="123"/>
      <c r="PG6" s="123"/>
      <c r="PH6" s="123"/>
      <c r="PI6" s="123"/>
      <c r="PJ6" s="123"/>
      <c r="PK6" s="123"/>
      <c r="PL6" s="123"/>
      <c r="PM6" s="123"/>
      <c r="PN6" s="123"/>
      <c r="PO6" s="123"/>
      <c r="PP6" s="123"/>
      <c r="PQ6" s="123"/>
      <c r="PR6" s="123"/>
      <c r="PS6" s="123"/>
      <c r="PT6" s="123"/>
      <c r="PU6" s="123"/>
      <c r="PV6" s="123"/>
      <c r="PW6" s="123"/>
      <c r="PX6" s="123"/>
      <c r="PY6" s="123"/>
      <c r="PZ6" s="123"/>
      <c r="QA6" s="123"/>
      <c r="QB6" s="123"/>
      <c r="QC6" s="123"/>
      <c r="QD6" s="123"/>
      <c r="QE6" s="123"/>
      <c r="QF6" s="123"/>
      <c r="QG6" s="123"/>
    </row>
    <row r="7" spans="1:449" s="156" customFormat="1" x14ac:dyDescent="0.25">
      <c r="A7" s="159" t="s">
        <v>0</v>
      </c>
      <c r="B7" s="164">
        <f>+(VLOOKUP(A7,'Ejercicio 1'!$M$40:$R$80,2,FALSE))*VLOOKUP(A7,'Ejercicio 1'!$E$40:$I$80,4,FALSE)</f>
        <v>15450</v>
      </c>
      <c r="C7" s="61" t="str">
        <f>+VLOOKUP(A7,'Ejercicio 1'!$E$40:$I$80,5,FALSE)</f>
        <v>mts</v>
      </c>
      <c r="D7" s="160">
        <f>+(VLOOKUP(A7,'Ejercicio 1'!$M$40:$R$80,4,FALSE)+VLOOKUP(A7,'Ejercicio 1'!$M$40:$R$80,5,FALSE))*VLOOKUP(A7,'Ejercicio 1'!$E$40:$I$80,4,FALSE)/11</f>
        <v>1390.909090909091</v>
      </c>
      <c r="E7" s="168">
        <v>4</v>
      </c>
      <c r="F7" s="199">
        <f>2000+G7</f>
        <v>2000</v>
      </c>
      <c r="G7" s="200"/>
      <c r="H7" s="199">
        <f t="shared" si="14"/>
        <v>4471.590909090909</v>
      </c>
      <c r="I7" s="200">
        <f t="shared" si="0"/>
        <v>3862.5</v>
      </c>
      <c r="J7" s="199">
        <f t="shared" si="1"/>
        <v>3080.681818181818</v>
      </c>
      <c r="K7" s="200"/>
      <c r="L7" s="199">
        <f t="shared" si="2"/>
        <v>1689.772727272727</v>
      </c>
      <c r="M7" s="200"/>
      <c r="N7" s="199">
        <f t="shared" si="3"/>
        <v>4161.363636363636</v>
      </c>
      <c r="O7" s="200">
        <f t="shared" si="4"/>
        <v>3862.5</v>
      </c>
      <c r="P7" s="199">
        <f t="shared" si="5"/>
        <v>2770.454545454545</v>
      </c>
      <c r="Q7" s="200"/>
      <c r="R7" s="199">
        <f t="shared" si="6"/>
        <v>5242.045454545454</v>
      </c>
      <c r="S7" s="200">
        <f t="shared" si="7"/>
        <v>3862.5</v>
      </c>
      <c r="T7" s="199">
        <f t="shared" si="8"/>
        <v>3851.1363636363631</v>
      </c>
      <c r="U7" s="200"/>
      <c r="V7" s="199">
        <f t="shared" si="9"/>
        <v>2460.2272727272721</v>
      </c>
      <c r="W7" s="200"/>
      <c r="X7" s="199">
        <f t="shared" si="10"/>
        <v>4931.8181818181811</v>
      </c>
      <c r="Y7" s="200">
        <f t="shared" si="11"/>
        <v>3862.5</v>
      </c>
      <c r="Z7" s="199">
        <f t="shared" si="12"/>
        <v>3540.9090909090901</v>
      </c>
      <c r="AA7" s="200"/>
      <c r="AB7" s="199">
        <f t="shared" si="12"/>
        <v>6012.4999999999991</v>
      </c>
      <c r="AC7" s="200">
        <f t="shared" si="13"/>
        <v>3862.5</v>
      </c>
      <c r="AD7" s="125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  <c r="IW7" s="123"/>
      <c r="IX7" s="123"/>
      <c r="IY7" s="123"/>
      <c r="IZ7" s="123"/>
      <c r="JA7" s="123"/>
      <c r="JB7" s="123"/>
      <c r="JC7" s="123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3"/>
      <c r="JT7" s="123"/>
      <c r="JU7" s="123"/>
      <c r="JV7" s="123"/>
      <c r="JW7" s="123"/>
      <c r="JX7" s="123"/>
      <c r="JY7" s="123"/>
      <c r="JZ7" s="123"/>
      <c r="KA7" s="123"/>
      <c r="KB7" s="123"/>
      <c r="KC7" s="123"/>
      <c r="KD7" s="123"/>
      <c r="KE7" s="123"/>
      <c r="KF7" s="123"/>
      <c r="KG7" s="123"/>
      <c r="KH7" s="123"/>
      <c r="KI7" s="123"/>
      <c r="KJ7" s="123"/>
      <c r="KK7" s="123"/>
      <c r="KL7" s="123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3"/>
      <c r="LC7" s="123"/>
      <c r="LD7" s="123"/>
      <c r="LE7" s="123"/>
      <c r="LF7" s="123"/>
      <c r="LG7" s="123"/>
      <c r="LH7" s="123"/>
      <c r="LI7" s="123"/>
      <c r="LJ7" s="123"/>
      <c r="LK7" s="123"/>
      <c r="LL7" s="123"/>
      <c r="LM7" s="123"/>
      <c r="LN7" s="123"/>
      <c r="LO7" s="123"/>
      <c r="LP7" s="123"/>
      <c r="LQ7" s="123"/>
      <c r="LR7" s="123"/>
      <c r="LS7" s="123"/>
      <c r="LT7" s="123"/>
      <c r="LU7" s="123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3"/>
      <c r="ML7" s="123"/>
      <c r="MM7" s="123"/>
      <c r="MN7" s="123"/>
      <c r="MO7" s="123"/>
      <c r="MP7" s="123"/>
      <c r="MQ7" s="123"/>
      <c r="MR7" s="123"/>
      <c r="MS7" s="123"/>
      <c r="MT7" s="123"/>
      <c r="MU7" s="123"/>
      <c r="MV7" s="123"/>
      <c r="MW7" s="123"/>
      <c r="MX7" s="123"/>
      <c r="MY7" s="123"/>
      <c r="MZ7" s="123"/>
      <c r="NA7" s="123"/>
      <c r="NB7" s="123"/>
      <c r="NC7" s="123"/>
      <c r="ND7" s="123"/>
      <c r="NE7" s="123"/>
      <c r="NF7" s="123"/>
      <c r="NG7" s="123"/>
      <c r="NH7" s="123"/>
      <c r="NI7" s="123"/>
      <c r="NJ7" s="123"/>
      <c r="NK7" s="123"/>
      <c r="NL7" s="123"/>
      <c r="NM7" s="123"/>
      <c r="NN7" s="123"/>
      <c r="NO7" s="123"/>
      <c r="NP7" s="123"/>
      <c r="NQ7" s="123"/>
      <c r="NR7" s="123"/>
      <c r="NS7" s="123"/>
      <c r="NT7" s="123"/>
      <c r="NU7" s="123"/>
      <c r="NV7" s="123"/>
      <c r="NW7" s="123"/>
      <c r="NX7" s="123"/>
      <c r="NY7" s="123"/>
      <c r="NZ7" s="123"/>
      <c r="OA7" s="123"/>
      <c r="OB7" s="123"/>
      <c r="OC7" s="123"/>
      <c r="OD7" s="123"/>
      <c r="OE7" s="123"/>
      <c r="OF7" s="123"/>
      <c r="OG7" s="123"/>
      <c r="OH7" s="123"/>
      <c r="OI7" s="123"/>
      <c r="OJ7" s="123"/>
      <c r="OK7" s="123"/>
      <c r="OL7" s="123"/>
      <c r="OM7" s="123"/>
      <c r="ON7" s="123"/>
      <c r="OO7" s="123"/>
      <c r="OP7" s="123"/>
      <c r="OQ7" s="123"/>
      <c r="OR7" s="123"/>
      <c r="OS7" s="123"/>
      <c r="OT7" s="123"/>
      <c r="OU7" s="123"/>
      <c r="OV7" s="123"/>
      <c r="OW7" s="123"/>
      <c r="OX7" s="123"/>
      <c r="OY7" s="123"/>
      <c r="OZ7" s="123"/>
      <c r="PA7" s="123"/>
      <c r="PB7" s="123"/>
      <c r="PC7" s="123"/>
      <c r="PD7" s="123"/>
      <c r="PE7" s="123"/>
      <c r="PF7" s="123"/>
      <c r="PG7" s="123"/>
      <c r="PH7" s="123"/>
      <c r="PI7" s="123"/>
      <c r="PJ7" s="123"/>
      <c r="PK7" s="123"/>
      <c r="PL7" s="123"/>
      <c r="PM7" s="123"/>
      <c r="PN7" s="123"/>
      <c r="PO7" s="123"/>
      <c r="PP7" s="123"/>
      <c r="PQ7" s="123"/>
      <c r="PR7" s="123"/>
      <c r="PS7" s="123"/>
      <c r="PT7" s="123"/>
      <c r="PU7" s="123"/>
      <c r="PV7" s="123"/>
      <c r="PW7" s="123"/>
      <c r="PX7" s="123"/>
      <c r="PY7" s="123"/>
      <c r="PZ7" s="123"/>
      <c r="QA7" s="123"/>
      <c r="QB7" s="123"/>
      <c r="QC7" s="123"/>
      <c r="QD7" s="123"/>
      <c r="QE7" s="123"/>
      <c r="QF7" s="123"/>
      <c r="QG7" s="123"/>
    </row>
    <row r="8" spans="1:449" s="156" customFormat="1" x14ac:dyDescent="0.25">
      <c r="A8" s="159" t="s">
        <v>35</v>
      </c>
      <c r="B8" s="164">
        <f>+(VLOOKUP(A8,'Ejercicio 1'!$M$40:$R$80,2,FALSE))*VLOOKUP(A8,'Ejercicio 1'!$E$40:$I$80,4,FALSE)</f>
        <v>50500</v>
      </c>
      <c r="C8" s="61" t="str">
        <f>+VLOOKUP(A8,'Ejercicio 1'!$E$40:$I$80,5,FALSE)</f>
        <v>u</v>
      </c>
      <c r="D8" s="160">
        <f>+(VLOOKUP(A8,'Ejercicio 1'!$M$40:$R$80,4,FALSE)+VLOOKUP(A8,'Ejercicio 1'!$M$40:$R$80,5,FALSE))*VLOOKUP(A8,'Ejercicio 1'!$E$40:$I$80,4,FALSE)/11</f>
        <v>4590.909090909091</v>
      </c>
      <c r="E8" s="168">
        <v>4</v>
      </c>
      <c r="F8" s="199">
        <f>1400+G8</f>
        <v>1400</v>
      </c>
      <c r="G8" s="200"/>
      <c r="H8" s="199">
        <f t="shared" si="14"/>
        <v>9434.0909090909081</v>
      </c>
      <c r="I8" s="200">
        <f t="shared" si="0"/>
        <v>12625</v>
      </c>
      <c r="J8" s="199">
        <f t="shared" si="1"/>
        <v>4843.1818181818171</v>
      </c>
      <c r="K8" s="200"/>
      <c r="L8" s="199">
        <f t="shared" si="2"/>
        <v>252.27272727272612</v>
      </c>
      <c r="M8" s="200"/>
      <c r="N8" s="199">
        <f t="shared" si="3"/>
        <v>8286.363636363636</v>
      </c>
      <c r="O8" s="200">
        <f t="shared" si="4"/>
        <v>12625</v>
      </c>
      <c r="P8" s="199">
        <f t="shared" si="5"/>
        <v>3695.454545454545</v>
      </c>
      <c r="Q8" s="200"/>
      <c r="R8" s="199">
        <f t="shared" si="6"/>
        <v>11729.545454545452</v>
      </c>
      <c r="S8" s="200">
        <f t="shared" si="7"/>
        <v>12625</v>
      </c>
      <c r="T8" s="199">
        <f t="shared" si="8"/>
        <v>7138.6363636363612</v>
      </c>
      <c r="U8" s="200"/>
      <c r="V8" s="199">
        <f t="shared" si="9"/>
        <v>2547.7272727272702</v>
      </c>
      <c r="W8" s="200"/>
      <c r="X8" s="199">
        <f t="shared" si="10"/>
        <v>10581.81818181818</v>
      </c>
      <c r="Y8" s="200">
        <f t="shared" si="11"/>
        <v>12625</v>
      </c>
      <c r="Z8" s="199">
        <f t="shared" si="12"/>
        <v>5990.9090909090892</v>
      </c>
      <c r="AA8" s="200"/>
      <c r="AB8" s="199">
        <f t="shared" si="12"/>
        <v>14024.999999999996</v>
      </c>
      <c r="AC8" s="200">
        <f t="shared" si="13"/>
        <v>12625</v>
      </c>
      <c r="AD8" s="125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  <c r="IW8" s="123"/>
      <c r="IX8" s="123"/>
      <c r="IY8" s="123"/>
      <c r="IZ8" s="123"/>
      <c r="JA8" s="123"/>
      <c r="JB8" s="123"/>
      <c r="JC8" s="123"/>
      <c r="JD8" s="123"/>
      <c r="JE8" s="123"/>
      <c r="JF8" s="123"/>
      <c r="JG8" s="123"/>
      <c r="JH8" s="123"/>
      <c r="JI8" s="123"/>
      <c r="JJ8" s="123"/>
      <c r="JK8" s="123"/>
      <c r="JL8" s="123"/>
      <c r="JM8" s="123"/>
      <c r="JN8" s="123"/>
      <c r="JO8" s="123"/>
      <c r="JP8" s="123"/>
      <c r="JQ8" s="123"/>
      <c r="JR8" s="123"/>
      <c r="JS8" s="123"/>
      <c r="JT8" s="123"/>
      <c r="JU8" s="123"/>
      <c r="JV8" s="123"/>
      <c r="JW8" s="123"/>
      <c r="JX8" s="123"/>
      <c r="JY8" s="123"/>
      <c r="JZ8" s="123"/>
      <c r="KA8" s="123"/>
      <c r="KB8" s="123"/>
      <c r="KC8" s="123"/>
      <c r="KD8" s="123"/>
      <c r="KE8" s="123"/>
      <c r="KF8" s="123"/>
      <c r="KG8" s="123"/>
      <c r="KH8" s="123"/>
      <c r="KI8" s="123"/>
      <c r="KJ8" s="123"/>
      <c r="KK8" s="123"/>
      <c r="KL8" s="123"/>
      <c r="KM8" s="123"/>
      <c r="KN8" s="123"/>
      <c r="KO8" s="123"/>
      <c r="KP8" s="123"/>
      <c r="KQ8" s="123"/>
      <c r="KR8" s="123"/>
      <c r="KS8" s="123"/>
      <c r="KT8" s="123"/>
      <c r="KU8" s="123"/>
      <c r="KV8" s="123"/>
      <c r="KW8" s="123"/>
      <c r="KX8" s="123"/>
      <c r="KY8" s="123"/>
      <c r="KZ8" s="123"/>
      <c r="LA8" s="123"/>
      <c r="LB8" s="123"/>
      <c r="LC8" s="123"/>
      <c r="LD8" s="123"/>
      <c r="LE8" s="123"/>
      <c r="LF8" s="123"/>
      <c r="LG8" s="123"/>
      <c r="LH8" s="123"/>
      <c r="LI8" s="123"/>
      <c r="LJ8" s="123"/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U8" s="123"/>
      <c r="NV8" s="123"/>
      <c r="NW8" s="123"/>
      <c r="NX8" s="123"/>
      <c r="NY8" s="123"/>
      <c r="NZ8" s="123"/>
      <c r="OA8" s="123"/>
      <c r="OB8" s="123"/>
      <c r="OC8" s="123"/>
      <c r="OD8" s="123"/>
      <c r="OE8" s="123"/>
      <c r="OF8" s="123"/>
      <c r="OG8" s="123"/>
      <c r="OH8" s="123"/>
      <c r="OI8" s="123"/>
      <c r="OJ8" s="123"/>
      <c r="OK8" s="123"/>
      <c r="OL8" s="123"/>
      <c r="OM8" s="123"/>
      <c r="ON8" s="123"/>
      <c r="OO8" s="123"/>
      <c r="OP8" s="123"/>
      <c r="OQ8" s="123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3"/>
      <c r="PF8" s="123"/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</row>
    <row r="9" spans="1:449" s="156" customFormat="1" ht="45" x14ac:dyDescent="0.25">
      <c r="A9" s="159" t="s">
        <v>42</v>
      </c>
      <c r="B9" s="164">
        <f>+(VLOOKUP(A9,'Ejercicio 1'!$M$40:$R$80,2,FALSE))*VLOOKUP(A9,'Ejercicio 1'!$E$40:$I$80,4,FALSE)</f>
        <v>470339.99999999994</v>
      </c>
      <c r="C9" s="61" t="str">
        <f>+VLOOKUP(A9,'Ejercicio 1'!$E$40:$I$80,5,FALSE)</f>
        <v>u</v>
      </c>
      <c r="D9" s="160">
        <f>+(VLOOKUP(A9,'Ejercicio 1'!$M$40:$R$80,4,FALSE)+VLOOKUP(A9,'Ejercicio 1'!$M$40:$R$80,5,FALSE))*VLOOKUP(A9,'Ejercicio 1'!$E$40:$I$80,4,FALSE)/11</f>
        <v>42347.045454545456</v>
      </c>
      <c r="E9" s="168">
        <v>2</v>
      </c>
      <c r="F9" s="199">
        <f>60000+G9</f>
        <v>60000</v>
      </c>
      <c r="G9" s="200"/>
      <c r="H9" s="199">
        <f t="shared" si="14"/>
        <v>17652.954545454544</v>
      </c>
      <c r="I9" s="200"/>
      <c r="J9" s="199">
        <f t="shared" si="1"/>
        <v>210475.90909090906</v>
      </c>
      <c r="K9" s="200">
        <f t="shared" ref="K9:K12" si="15">+$B9/$E9</f>
        <v>235169.99999999997</v>
      </c>
      <c r="L9" s="199">
        <f t="shared" si="2"/>
        <v>168128.86363636359</v>
      </c>
      <c r="M9" s="200"/>
      <c r="N9" s="199">
        <f t="shared" si="3"/>
        <v>125781.81818181813</v>
      </c>
      <c r="O9" s="200"/>
      <c r="P9" s="199">
        <f t="shared" si="5"/>
        <v>83434.772727272677</v>
      </c>
      <c r="Q9" s="200"/>
      <c r="R9" s="199">
        <f t="shared" si="6"/>
        <v>41087.727272727221</v>
      </c>
      <c r="S9" s="200"/>
      <c r="T9" s="199">
        <f t="shared" si="8"/>
        <v>233910.68181818171</v>
      </c>
      <c r="U9" s="200">
        <f t="shared" ref="U9:U12" si="16">+$B9/$E9</f>
        <v>235169.99999999997</v>
      </c>
      <c r="V9" s="199">
        <f t="shared" si="9"/>
        <v>191563.63636363624</v>
      </c>
      <c r="W9" s="200"/>
      <c r="X9" s="199">
        <f t="shared" si="10"/>
        <v>149216.59090909077</v>
      </c>
      <c r="Y9" s="200"/>
      <c r="Z9" s="199">
        <f t="shared" si="12"/>
        <v>106869.54545454531</v>
      </c>
      <c r="AA9" s="200"/>
      <c r="AB9" s="199">
        <f t="shared" si="12"/>
        <v>64522.499999999854</v>
      </c>
      <c r="AC9" s="200"/>
      <c r="AD9" s="125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  <c r="IW9" s="123"/>
      <c r="IX9" s="123"/>
      <c r="IY9" s="123"/>
      <c r="IZ9" s="123"/>
      <c r="JA9" s="123"/>
      <c r="JB9" s="123"/>
      <c r="JC9" s="123"/>
      <c r="JD9" s="123"/>
      <c r="JE9" s="123"/>
      <c r="JF9" s="123"/>
      <c r="JG9" s="123"/>
      <c r="JH9" s="123"/>
      <c r="JI9" s="123"/>
      <c r="JJ9" s="123"/>
      <c r="JK9" s="123"/>
      <c r="JL9" s="123"/>
      <c r="JM9" s="123"/>
      <c r="JN9" s="123"/>
      <c r="JO9" s="123"/>
      <c r="JP9" s="123"/>
      <c r="JQ9" s="123"/>
      <c r="JR9" s="123"/>
      <c r="JS9" s="123"/>
      <c r="JT9" s="123"/>
      <c r="JU9" s="123"/>
      <c r="JV9" s="123"/>
      <c r="JW9" s="123"/>
      <c r="JX9" s="123"/>
      <c r="JY9" s="123"/>
      <c r="JZ9" s="123"/>
      <c r="KA9" s="123"/>
      <c r="KB9" s="123"/>
      <c r="KC9" s="123"/>
      <c r="KD9" s="123"/>
      <c r="KE9" s="123"/>
      <c r="KF9" s="123"/>
      <c r="KG9" s="123"/>
      <c r="KH9" s="123"/>
      <c r="KI9" s="123"/>
      <c r="KJ9" s="123"/>
      <c r="KK9" s="123"/>
      <c r="KL9" s="123"/>
      <c r="KM9" s="123"/>
      <c r="KN9" s="123"/>
      <c r="KO9" s="123"/>
      <c r="KP9" s="123"/>
      <c r="KQ9" s="123"/>
      <c r="KR9" s="123"/>
      <c r="KS9" s="123"/>
      <c r="KT9" s="123"/>
      <c r="KU9" s="123"/>
      <c r="KV9" s="123"/>
      <c r="KW9" s="123"/>
      <c r="KX9" s="123"/>
      <c r="KY9" s="123"/>
      <c r="KZ9" s="123"/>
      <c r="LA9" s="123"/>
      <c r="LB9" s="123"/>
      <c r="LC9" s="123"/>
      <c r="LD9" s="123"/>
      <c r="LE9" s="123"/>
      <c r="LF9" s="123"/>
      <c r="LG9" s="123"/>
      <c r="LH9" s="123"/>
      <c r="LI9" s="123"/>
      <c r="LJ9" s="123"/>
      <c r="LK9" s="123"/>
      <c r="LL9" s="123"/>
      <c r="LM9" s="123"/>
      <c r="LN9" s="123"/>
      <c r="LO9" s="123"/>
      <c r="LP9" s="123"/>
      <c r="LQ9" s="123"/>
      <c r="LR9" s="123"/>
      <c r="LS9" s="123"/>
      <c r="LT9" s="123"/>
      <c r="LU9" s="123"/>
      <c r="LV9" s="123"/>
      <c r="LW9" s="123"/>
      <c r="LX9" s="123"/>
      <c r="LY9" s="123"/>
      <c r="LZ9" s="123"/>
      <c r="MA9" s="123"/>
      <c r="MB9" s="123"/>
      <c r="MC9" s="123"/>
      <c r="MD9" s="123"/>
      <c r="ME9" s="123"/>
      <c r="MF9" s="123"/>
      <c r="MG9" s="123"/>
      <c r="MH9" s="123"/>
      <c r="MI9" s="123"/>
      <c r="MJ9" s="123"/>
      <c r="MK9" s="123"/>
      <c r="ML9" s="123"/>
      <c r="MM9" s="123"/>
      <c r="MN9" s="123"/>
      <c r="MO9" s="123"/>
      <c r="MP9" s="123"/>
      <c r="MQ9" s="123"/>
      <c r="MR9" s="123"/>
      <c r="MS9" s="123"/>
      <c r="MT9" s="123"/>
      <c r="MU9" s="123"/>
      <c r="MV9" s="123"/>
      <c r="MW9" s="123"/>
      <c r="MX9" s="123"/>
      <c r="MY9" s="123"/>
      <c r="MZ9" s="123"/>
      <c r="NA9" s="123"/>
      <c r="NB9" s="123"/>
      <c r="NC9" s="123"/>
      <c r="ND9" s="123"/>
      <c r="NE9" s="123"/>
      <c r="NF9" s="123"/>
      <c r="NG9" s="123"/>
      <c r="NH9" s="123"/>
      <c r="NI9" s="123"/>
      <c r="NJ9" s="123"/>
      <c r="NK9" s="123"/>
      <c r="NL9" s="123"/>
      <c r="NM9" s="123"/>
      <c r="NN9" s="123"/>
      <c r="NO9" s="123"/>
      <c r="NP9" s="123"/>
      <c r="NQ9" s="123"/>
      <c r="NR9" s="123"/>
      <c r="NS9" s="123"/>
      <c r="NT9" s="123"/>
      <c r="NU9" s="123"/>
      <c r="NV9" s="123"/>
      <c r="NW9" s="123"/>
      <c r="NX9" s="123"/>
      <c r="NY9" s="123"/>
      <c r="NZ9" s="123"/>
      <c r="OA9" s="123"/>
      <c r="OB9" s="123"/>
      <c r="OC9" s="123"/>
      <c r="OD9" s="123"/>
      <c r="OE9" s="123"/>
      <c r="OF9" s="123"/>
      <c r="OG9" s="123"/>
      <c r="OH9" s="123"/>
      <c r="OI9" s="123"/>
      <c r="OJ9" s="123"/>
      <c r="OK9" s="123"/>
      <c r="OL9" s="123"/>
      <c r="OM9" s="123"/>
      <c r="ON9" s="123"/>
      <c r="OO9" s="123"/>
      <c r="OP9" s="123"/>
      <c r="OQ9" s="123"/>
      <c r="OR9" s="123"/>
      <c r="OS9" s="123"/>
      <c r="OT9" s="123"/>
      <c r="OU9" s="123"/>
      <c r="OV9" s="123"/>
      <c r="OW9" s="123"/>
      <c r="OX9" s="123"/>
      <c r="OY9" s="123"/>
      <c r="OZ9" s="123"/>
      <c r="PA9" s="123"/>
      <c r="PB9" s="123"/>
      <c r="PC9" s="123"/>
      <c r="PD9" s="123"/>
      <c r="PE9" s="123"/>
      <c r="PF9" s="123"/>
      <c r="PG9" s="123"/>
      <c r="PH9" s="123"/>
      <c r="PI9" s="123"/>
      <c r="PJ9" s="123"/>
      <c r="PK9" s="123"/>
      <c r="PL9" s="123"/>
      <c r="PM9" s="123"/>
      <c r="PN9" s="123"/>
      <c r="PO9" s="123"/>
      <c r="PP9" s="123"/>
      <c r="PQ9" s="123"/>
      <c r="PR9" s="123"/>
      <c r="PS9" s="123"/>
      <c r="PT9" s="123"/>
      <c r="PU9" s="123"/>
      <c r="PV9" s="123"/>
      <c r="PW9" s="123"/>
      <c r="PX9" s="123"/>
      <c r="PY9" s="123"/>
      <c r="PZ9" s="123"/>
      <c r="QA9" s="123"/>
      <c r="QB9" s="123"/>
      <c r="QC9" s="123"/>
      <c r="QD9" s="123"/>
      <c r="QE9" s="123"/>
      <c r="QF9" s="123"/>
      <c r="QG9" s="123"/>
    </row>
    <row r="10" spans="1:449" s="156" customFormat="1" ht="45" x14ac:dyDescent="0.25">
      <c r="A10" s="159" t="s">
        <v>80</v>
      </c>
      <c r="B10" s="164">
        <f>+(VLOOKUP(A10,'Ejercicio 1'!$M$40:$R$80,2,FALSE))*VLOOKUP(A10,'Ejercicio 1'!$E$40:$I$80,4,FALSE)</f>
        <v>209039.99999999997</v>
      </c>
      <c r="C10" s="61" t="str">
        <f>+VLOOKUP(A10,'Ejercicio 1'!$E$40:$I$80,5,FALSE)</f>
        <v>u</v>
      </c>
      <c r="D10" s="160">
        <f>+(VLOOKUP(A10,'Ejercicio 1'!$M$40:$R$80,4,FALSE)+VLOOKUP(A10,'Ejercicio 1'!$M$40:$R$80,5,FALSE))*VLOOKUP(A10,'Ejercicio 1'!$E$40:$I$80,4,FALSE)/11</f>
        <v>18820.909090909092</v>
      </c>
      <c r="E10" s="168">
        <v>2</v>
      </c>
      <c r="F10" s="199">
        <f>27000+G10</f>
        <v>27000</v>
      </c>
      <c r="G10" s="200"/>
      <c r="H10" s="199">
        <f t="shared" si="14"/>
        <v>8179.0909090909081</v>
      </c>
      <c r="I10" s="200"/>
      <c r="J10" s="199">
        <f t="shared" si="1"/>
        <v>93878.181818181809</v>
      </c>
      <c r="K10" s="200">
        <f t="shared" si="15"/>
        <v>104519.99999999999</v>
      </c>
      <c r="L10" s="199">
        <f t="shared" si="2"/>
        <v>75057.272727272721</v>
      </c>
      <c r="M10" s="200"/>
      <c r="N10" s="199">
        <f t="shared" si="3"/>
        <v>56236.363636363632</v>
      </c>
      <c r="O10" s="200"/>
      <c r="P10" s="199">
        <f t="shared" si="5"/>
        <v>37415.454545454544</v>
      </c>
      <c r="Q10" s="200"/>
      <c r="R10" s="199">
        <f t="shared" si="6"/>
        <v>18594.545454545452</v>
      </c>
      <c r="S10" s="200"/>
      <c r="T10" s="199">
        <f t="shared" si="8"/>
        <v>104293.63636363635</v>
      </c>
      <c r="U10" s="200">
        <f t="shared" si="16"/>
        <v>104519.99999999999</v>
      </c>
      <c r="V10" s="199">
        <f t="shared" si="9"/>
        <v>85472.727272727265</v>
      </c>
      <c r="W10" s="200"/>
      <c r="X10" s="199">
        <f t="shared" si="10"/>
        <v>66651.818181818177</v>
      </c>
      <c r="Y10" s="200"/>
      <c r="Z10" s="199">
        <f t="shared" si="12"/>
        <v>47830.909090909088</v>
      </c>
      <c r="AA10" s="200"/>
      <c r="AB10" s="199">
        <f t="shared" si="12"/>
        <v>29009.999999999996</v>
      </c>
      <c r="AC10" s="200"/>
      <c r="AD10" s="125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  <c r="ML10" s="123"/>
      <c r="MM10" s="123"/>
      <c r="MN10" s="123"/>
      <c r="MO10" s="123"/>
      <c r="MP10" s="123"/>
      <c r="MQ10" s="123"/>
      <c r="MR10" s="123"/>
      <c r="MS10" s="123"/>
      <c r="MT10" s="123"/>
      <c r="MU10" s="123"/>
      <c r="MV10" s="123"/>
      <c r="MW10" s="123"/>
      <c r="MX10" s="123"/>
      <c r="MY10" s="123"/>
      <c r="MZ10" s="123"/>
      <c r="NA10" s="123"/>
      <c r="NB10" s="123"/>
      <c r="NC10" s="123"/>
      <c r="ND10" s="123"/>
      <c r="NE10" s="123"/>
      <c r="NF10" s="123"/>
      <c r="NG10" s="123"/>
      <c r="NH10" s="123"/>
      <c r="NI10" s="123"/>
      <c r="NJ10" s="123"/>
      <c r="NK10" s="123"/>
      <c r="NL10" s="123"/>
      <c r="NM10" s="123"/>
      <c r="NN10" s="123"/>
      <c r="NO10" s="123"/>
      <c r="NP10" s="123"/>
      <c r="NQ10" s="123"/>
      <c r="NR10" s="123"/>
      <c r="NS10" s="123"/>
      <c r="NT10" s="123"/>
      <c r="NU10" s="123"/>
      <c r="NV10" s="123"/>
      <c r="NW10" s="123"/>
      <c r="NX10" s="123"/>
      <c r="NY10" s="123"/>
      <c r="NZ10" s="123"/>
      <c r="OA10" s="123"/>
      <c r="OB10" s="123"/>
      <c r="OC10" s="123"/>
      <c r="OD10" s="123"/>
      <c r="OE10" s="123"/>
      <c r="OF10" s="123"/>
      <c r="OG10" s="123"/>
      <c r="OH10" s="123"/>
      <c r="OI10" s="123"/>
      <c r="OJ10" s="123"/>
      <c r="OK10" s="123"/>
      <c r="OL10" s="123"/>
      <c r="OM10" s="123"/>
      <c r="ON10" s="123"/>
      <c r="OO10" s="123"/>
      <c r="OP10" s="123"/>
      <c r="OQ10" s="123"/>
      <c r="OR10" s="123"/>
      <c r="OS10" s="123"/>
      <c r="OT10" s="123"/>
      <c r="OU10" s="123"/>
      <c r="OV10" s="123"/>
      <c r="OW10" s="123"/>
      <c r="OX10" s="123"/>
      <c r="OY10" s="123"/>
      <c r="OZ10" s="123"/>
      <c r="PA10" s="123"/>
      <c r="PB10" s="123"/>
      <c r="PC10" s="123"/>
      <c r="PD10" s="123"/>
      <c r="PE10" s="123"/>
      <c r="PF10" s="123"/>
      <c r="PG10" s="123"/>
      <c r="PH10" s="123"/>
      <c r="PI10" s="123"/>
      <c r="PJ10" s="123"/>
      <c r="PK10" s="123"/>
      <c r="PL10" s="123"/>
      <c r="PM10" s="123"/>
      <c r="PN10" s="123"/>
      <c r="PO10" s="123"/>
      <c r="PP10" s="123"/>
      <c r="PQ10" s="123"/>
      <c r="PR10" s="123"/>
      <c r="PS10" s="123"/>
      <c r="PT10" s="123"/>
      <c r="PU10" s="123"/>
      <c r="PV10" s="123"/>
      <c r="PW10" s="123"/>
      <c r="PX10" s="123"/>
      <c r="PY10" s="123"/>
      <c r="PZ10" s="123"/>
      <c r="QA10" s="123"/>
      <c r="QB10" s="123"/>
      <c r="QC10" s="123"/>
      <c r="QD10" s="123"/>
      <c r="QE10" s="123"/>
      <c r="QF10" s="123"/>
      <c r="QG10" s="123"/>
    </row>
    <row r="11" spans="1:449" s="156" customFormat="1" ht="45" x14ac:dyDescent="0.25">
      <c r="A11" s="159" t="s">
        <v>46</v>
      </c>
      <c r="B11" s="164">
        <f>+(VLOOKUP(A11,'Ejercicio 1'!$M$40:$R$80,2,FALSE))*VLOOKUP(A11,'Ejercicio 1'!$E$40:$I$80,4,FALSE)</f>
        <v>52259.999999999993</v>
      </c>
      <c r="C11" s="61" t="str">
        <f>+VLOOKUP(A11,'Ejercicio 1'!$E$40:$I$80,5,FALSE)</f>
        <v>u</v>
      </c>
      <c r="D11" s="160">
        <f>+(VLOOKUP(A11,'Ejercicio 1'!$M$40:$R$80,4,FALSE)+VLOOKUP(A11,'Ejercicio 1'!$M$40:$R$80,5,FALSE))*VLOOKUP(A11,'Ejercicio 1'!$E$40:$I$80,4,FALSE)/11</f>
        <v>4705.227272727273</v>
      </c>
      <c r="E11" s="168">
        <v>3</v>
      </c>
      <c r="F11" s="199">
        <f>10000+G11</f>
        <v>27419.999999999996</v>
      </c>
      <c r="G11" s="200">
        <f t="shared" ref="G11" si="17">+$B11/$E11</f>
        <v>17419.999999999996</v>
      </c>
      <c r="H11" s="199">
        <f t="shared" si="14"/>
        <v>22714.772727272724</v>
      </c>
      <c r="I11" s="200"/>
      <c r="J11" s="199">
        <f t="shared" si="1"/>
        <v>18009.545454545452</v>
      </c>
      <c r="K11" s="200"/>
      <c r="L11" s="199">
        <f t="shared" si="2"/>
        <v>13304.31818181818</v>
      </c>
      <c r="M11" s="200"/>
      <c r="N11" s="199">
        <f t="shared" si="3"/>
        <v>8599.0909090909081</v>
      </c>
      <c r="O11" s="200"/>
      <c r="P11" s="199">
        <f t="shared" si="5"/>
        <v>21313.863636363632</v>
      </c>
      <c r="Q11" s="200">
        <f t="shared" ref="Q11" si="18">+$B11/$E11</f>
        <v>17419.999999999996</v>
      </c>
      <c r="R11" s="199">
        <f t="shared" si="6"/>
        <v>16608.63636363636</v>
      </c>
      <c r="S11" s="200"/>
      <c r="T11" s="199">
        <f t="shared" si="8"/>
        <v>11903.409090909088</v>
      </c>
      <c r="U11" s="200"/>
      <c r="V11" s="199">
        <f t="shared" si="9"/>
        <v>7198.1818181818153</v>
      </c>
      <c r="W11" s="200"/>
      <c r="X11" s="199">
        <f t="shared" si="10"/>
        <v>2492.9545454545423</v>
      </c>
      <c r="Y11" s="200"/>
      <c r="Z11" s="199">
        <f t="shared" si="12"/>
        <v>15207.727272727265</v>
      </c>
      <c r="AA11" s="200">
        <f t="shared" ref="AA11" si="19">+$B11/$E11</f>
        <v>17419.999999999996</v>
      </c>
      <c r="AB11" s="199">
        <f t="shared" si="12"/>
        <v>10502.499999999993</v>
      </c>
      <c r="AC11" s="200"/>
      <c r="AD11" s="125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  <c r="IW11" s="123"/>
      <c r="IX11" s="123"/>
      <c r="IY11" s="123"/>
      <c r="IZ11" s="123"/>
      <c r="JA11" s="123"/>
      <c r="JB11" s="123"/>
      <c r="JC11" s="123"/>
      <c r="JD11" s="123"/>
      <c r="JE11" s="123"/>
      <c r="JF11" s="123"/>
      <c r="JG11" s="123"/>
      <c r="JH11" s="123"/>
      <c r="JI11" s="123"/>
      <c r="JJ11" s="123"/>
      <c r="JK11" s="123"/>
      <c r="JL11" s="123"/>
      <c r="JM11" s="123"/>
      <c r="JN11" s="123"/>
      <c r="JO11" s="123"/>
      <c r="JP11" s="123"/>
      <c r="JQ11" s="123"/>
      <c r="JR11" s="123"/>
      <c r="JS11" s="123"/>
      <c r="JT11" s="123"/>
      <c r="JU11" s="123"/>
      <c r="JV11" s="123"/>
      <c r="JW11" s="123"/>
      <c r="JX11" s="123"/>
      <c r="JY11" s="123"/>
      <c r="JZ11" s="123"/>
      <c r="KA11" s="123"/>
      <c r="KB11" s="123"/>
      <c r="KC11" s="123"/>
      <c r="KD11" s="123"/>
      <c r="KE11" s="123"/>
      <c r="KF11" s="123"/>
      <c r="KG11" s="123"/>
      <c r="KH11" s="123"/>
      <c r="KI11" s="123"/>
      <c r="KJ11" s="123"/>
      <c r="KK11" s="123"/>
      <c r="KL11" s="123"/>
      <c r="KM11" s="123"/>
      <c r="KN11" s="123"/>
      <c r="KO11" s="123"/>
      <c r="KP11" s="123"/>
      <c r="KQ11" s="123"/>
      <c r="KR11" s="123"/>
      <c r="KS11" s="123"/>
      <c r="KT11" s="123"/>
      <c r="KU11" s="123"/>
      <c r="KV11" s="123"/>
      <c r="KW11" s="123"/>
      <c r="KX11" s="123"/>
      <c r="KY11" s="123"/>
      <c r="KZ11" s="123"/>
      <c r="LA11" s="123"/>
      <c r="LB11" s="123"/>
      <c r="LC11" s="123"/>
      <c r="LD11" s="123"/>
      <c r="LE11" s="123"/>
      <c r="LF11" s="123"/>
      <c r="LG11" s="123"/>
      <c r="LH11" s="123"/>
      <c r="LI11" s="123"/>
      <c r="LJ11" s="123"/>
      <c r="LK11" s="123"/>
      <c r="LL11" s="123"/>
      <c r="LM11" s="123"/>
      <c r="LN11" s="123"/>
      <c r="LO11" s="123"/>
      <c r="LP11" s="123"/>
      <c r="LQ11" s="123"/>
      <c r="LR11" s="123"/>
      <c r="LS11" s="123"/>
      <c r="LT11" s="123"/>
      <c r="LU11" s="123"/>
      <c r="LV11" s="123"/>
      <c r="LW11" s="123"/>
      <c r="LX11" s="123"/>
      <c r="LY11" s="123"/>
      <c r="LZ11" s="123"/>
      <c r="MA11" s="123"/>
      <c r="MB11" s="123"/>
      <c r="MC11" s="123"/>
      <c r="MD11" s="123"/>
      <c r="ME11" s="123"/>
      <c r="MF11" s="123"/>
      <c r="MG11" s="123"/>
      <c r="MH11" s="123"/>
      <c r="MI11" s="123"/>
      <c r="MJ11" s="123"/>
      <c r="MK11" s="123"/>
      <c r="ML11" s="123"/>
      <c r="MM11" s="123"/>
      <c r="MN11" s="123"/>
      <c r="MO11" s="123"/>
      <c r="MP11" s="123"/>
      <c r="MQ11" s="123"/>
      <c r="MR11" s="123"/>
      <c r="MS11" s="123"/>
      <c r="MT11" s="123"/>
      <c r="MU11" s="123"/>
      <c r="MV11" s="123"/>
      <c r="MW11" s="123"/>
      <c r="MX11" s="123"/>
      <c r="MY11" s="123"/>
      <c r="MZ11" s="123"/>
      <c r="NA11" s="123"/>
      <c r="NB11" s="123"/>
      <c r="NC11" s="123"/>
      <c r="ND11" s="123"/>
      <c r="NE11" s="123"/>
      <c r="NF11" s="123"/>
      <c r="NG11" s="123"/>
      <c r="NH11" s="123"/>
      <c r="NI11" s="123"/>
      <c r="NJ11" s="123"/>
      <c r="NK11" s="123"/>
      <c r="NL11" s="123"/>
      <c r="NM11" s="123"/>
      <c r="NN11" s="123"/>
      <c r="NO11" s="123"/>
      <c r="NP11" s="123"/>
      <c r="NQ11" s="123"/>
      <c r="NR11" s="123"/>
      <c r="NS11" s="123"/>
      <c r="NT11" s="123"/>
      <c r="NU11" s="123"/>
      <c r="NV11" s="123"/>
      <c r="NW11" s="123"/>
      <c r="NX11" s="123"/>
      <c r="NY11" s="123"/>
      <c r="NZ11" s="123"/>
      <c r="OA11" s="123"/>
      <c r="OB11" s="123"/>
      <c r="OC11" s="123"/>
      <c r="OD11" s="123"/>
      <c r="OE11" s="123"/>
      <c r="OF11" s="123"/>
      <c r="OG11" s="123"/>
      <c r="OH11" s="123"/>
      <c r="OI11" s="123"/>
      <c r="OJ11" s="123"/>
      <c r="OK11" s="123"/>
      <c r="OL11" s="123"/>
      <c r="OM11" s="123"/>
      <c r="ON11" s="123"/>
      <c r="OO11" s="123"/>
      <c r="OP11" s="123"/>
      <c r="OQ11" s="123"/>
      <c r="OR11" s="123"/>
      <c r="OS11" s="123"/>
      <c r="OT11" s="123"/>
      <c r="OU11" s="123"/>
      <c r="OV11" s="123"/>
      <c r="OW11" s="123"/>
      <c r="OX11" s="123"/>
      <c r="OY11" s="123"/>
      <c r="OZ11" s="123"/>
      <c r="PA11" s="123"/>
      <c r="PB11" s="123"/>
      <c r="PC11" s="123"/>
      <c r="PD11" s="123"/>
      <c r="PE11" s="123"/>
      <c r="PF11" s="123"/>
      <c r="PG11" s="123"/>
      <c r="PH11" s="123"/>
      <c r="PI11" s="123"/>
      <c r="PJ11" s="123"/>
      <c r="PK11" s="123"/>
      <c r="PL11" s="123"/>
      <c r="PM11" s="123"/>
      <c r="PN11" s="123"/>
      <c r="PO11" s="123"/>
      <c r="PP11" s="123"/>
      <c r="PQ11" s="123"/>
      <c r="PR11" s="123"/>
      <c r="PS11" s="123"/>
      <c r="PT11" s="123"/>
      <c r="PU11" s="123"/>
      <c r="PV11" s="123"/>
      <c r="PW11" s="123"/>
      <c r="PX11" s="123"/>
      <c r="PY11" s="123"/>
      <c r="PZ11" s="123"/>
      <c r="QA11" s="123"/>
      <c r="QB11" s="123"/>
      <c r="QC11" s="123"/>
      <c r="QD11" s="123"/>
      <c r="QE11" s="123"/>
      <c r="QF11" s="123"/>
      <c r="QG11" s="123"/>
    </row>
    <row r="12" spans="1:449" s="156" customFormat="1" ht="45" x14ac:dyDescent="0.25">
      <c r="A12" s="159" t="s">
        <v>48</v>
      </c>
      <c r="B12" s="164">
        <f>+(VLOOKUP(A12,'Ejercicio 1'!$M$40:$R$80,2,FALSE))*VLOOKUP(A12,'Ejercicio 1'!$E$40:$I$80,4,FALSE)</f>
        <v>104519.99999999999</v>
      </c>
      <c r="C12" s="61" t="str">
        <f>+VLOOKUP(A12,'Ejercicio 1'!$E$40:$I$80,5,FALSE)</f>
        <v>u</v>
      </c>
      <c r="D12" s="160">
        <f>+(VLOOKUP(A12,'Ejercicio 1'!$M$40:$R$80,4,FALSE)+VLOOKUP(A12,'Ejercicio 1'!$M$40:$R$80,5,FALSE))*VLOOKUP(A12,'Ejercicio 1'!$E$40:$I$80,4,FALSE)/11</f>
        <v>9410.454545454546</v>
      </c>
      <c r="E12" s="168">
        <v>2</v>
      </c>
      <c r="F12" s="199">
        <f>10000+G12</f>
        <v>10000</v>
      </c>
      <c r="G12" s="200"/>
      <c r="H12" s="199">
        <f t="shared" si="14"/>
        <v>589.54545454545405</v>
      </c>
      <c r="I12" s="200"/>
      <c r="J12" s="199">
        <f t="shared" si="1"/>
        <v>43439.090909090904</v>
      </c>
      <c r="K12" s="200">
        <f t="shared" si="15"/>
        <v>52259.999999999993</v>
      </c>
      <c r="L12" s="199">
        <f t="shared" si="2"/>
        <v>34028.63636363636</v>
      </c>
      <c r="M12" s="200"/>
      <c r="N12" s="199">
        <f t="shared" si="3"/>
        <v>24618.181818181816</v>
      </c>
      <c r="O12" s="200"/>
      <c r="P12" s="199">
        <f t="shared" si="5"/>
        <v>15207.72727272727</v>
      </c>
      <c r="Q12" s="200"/>
      <c r="R12" s="199">
        <f t="shared" si="6"/>
        <v>5797.2727272727243</v>
      </c>
      <c r="S12" s="200"/>
      <c r="T12" s="199">
        <f t="shared" si="8"/>
        <v>48646.818181818177</v>
      </c>
      <c r="U12" s="200">
        <f t="shared" si="16"/>
        <v>52259.999999999993</v>
      </c>
      <c r="V12" s="199">
        <f t="shared" si="9"/>
        <v>39236.363636363632</v>
      </c>
      <c r="W12" s="200"/>
      <c r="X12" s="199">
        <f t="shared" si="10"/>
        <v>29825.909090909088</v>
      </c>
      <c r="Y12" s="200"/>
      <c r="Z12" s="199">
        <f t="shared" si="12"/>
        <v>20415.454545454544</v>
      </c>
      <c r="AA12" s="200"/>
      <c r="AB12" s="199">
        <f t="shared" si="12"/>
        <v>11004.999999999998</v>
      </c>
      <c r="AC12" s="200"/>
      <c r="AD12" s="125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  <c r="IW12" s="123"/>
      <c r="IX12" s="123"/>
      <c r="IY12" s="123"/>
      <c r="IZ12" s="123"/>
      <c r="JA12" s="123"/>
      <c r="JB12" s="123"/>
      <c r="JC12" s="123"/>
      <c r="JD12" s="123"/>
      <c r="JE12" s="123"/>
      <c r="JF12" s="123"/>
      <c r="JG12" s="123"/>
      <c r="JH12" s="123"/>
      <c r="JI12" s="123"/>
      <c r="JJ12" s="123"/>
      <c r="JK12" s="123"/>
      <c r="JL12" s="123"/>
      <c r="JM12" s="123"/>
      <c r="JN12" s="123"/>
      <c r="JO12" s="123"/>
      <c r="JP12" s="123"/>
      <c r="JQ12" s="123"/>
      <c r="JR12" s="123"/>
      <c r="JS12" s="123"/>
      <c r="JT12" s="123"/>
      <c r="JU12" s="123"/>
      <c r="JV12" s="123"/>
      <c r="JW12" s="123"/>
      <c r="JX12" s="123"/>
      <c r="JY12" s="123"/>
      <c r="JZ12" s="123"/>
      <c r="KA12" s="123"/>
      <c r="KB12" s="123"/>
      <c r="KC12" s="123"/>
      <c r="KD12" s="123"/>
      <c r="KE12" s="123"/>
      <c r="KF12" s="123"/>
      <c r="KG12" s="123"/>
      <c r="KH12" s="123"/>
      <c r="KI12" s="123"/>
      <c r="KJ12" s="123"/>
      <c r="KK12" s="123"/>
      <c r="KL12" s="123"/>
      <c r="KM12" s="123"/>
      <c r="KN12" s="123"/>
      <c r="KO12" s="123"/>
      <c r="KP12" s="123"/>
      <c r="KQ12" s="123"/>
      <c r="KR12" s="123"/>
      <c r="KS12" s="123"/>
      <c r="KT12" s="123"/>
      <c r="KU12" s="123"/>
      <c r="KV12" s="123"/>
      <c r="KW12" s="123"/>
      <c r="KX12" s="123"/>
      <c r="KY12" s="123"/>
      <c r="KZ12" s="123"/>
      <c r="LA12" s="123"/>
      <c r="LB12" s="123"/>
      <c r="LC12" s="123"/>
      <c r="LD12" s="123"/>
      <c r="LE12" s="123"/>
      <c r="LF12" s="123"/>
      <c r="LG12" s="123"/>
      <c r="LH12" s="123"/>
      <c r="LI12" s="123"/>
      <c r="LJ12" s="123"/>
      <c r="LK12" s="123"/>
      <c r="LL12" s="123"/>
      <c r="LM12" s="123"/>
      <c r="LN12" s="123"/>
      <c r="LO12" s="123"/>
      <c r="LP12" s="123"/>
      <c r="LQ12" s="123"/>
      <c r="LR12" s="123"/>
      <c r="LS12" s="123"/>
      <c r="LT12" s="123"/>
      <c r="LU12" s="123"/>
      <c r="LV12" s="123"/>
      <c r="LW12" s="123"/>
      <c r="LX12" s="123"/>
      <c r="LY12" s="123"/>
      <c r="LZ12" s="123"/>
      <c r="MA12" s="123"/>
      <c r="MB12" s="123"/>
      <c r="MC12" s="123"/>
      <c r="MD12" s="123"/>
      <c r="ME12" s="123"/>
      <c r="MF12" s="123"/>
      <c r="MG12" s="123"/>
      <c r="MH12" s="123"/>
      <c r="MI12" s="123"/>
      <c r="MJ12" s="123"/>
      <c r="MK12" s="123"/>
      <c r="ML12" s="123"/>
      <c r="MM12" s="123"/>
      <c r="MN12" s="123"/>
      <c r="MO12" s="123"/>
      <c r="MP12" s="123"/>
      <c r="MQ12" s="123"/>
      <c r="MR12" s="123"/>
      <c r="MS12" s="123"/>
      <c r="MT12" s="123"/>
      <c r="MU12" s="123"/>
      <c r="MV12" s="123"/>
      <c r="MW12" s="123"/>
      <c r="MX12" s="123"/>
      <c r="MY12" s="123"/>
      <c r="MZ12" s="123"/>
      <c r="NA12" s="123"/>
      <c r="NB12" s="123"/>
      <c r="NC12" s="123"/>
      <c r="ND12" s="123"/>
      <c r="NE12" s="123"/>
      <c r="NF12" s="123"/>
      <c r="NG12" s="123"/>
      <c r="NH12" s="123"/>
      <c r="NI12" s="123"/>
      <c r="NJ12" s="123"/>
      <c r="NK12" s="123"/>
      <c r="NL12" s="123"/>
      <c r="NM12" s="123"/>
      <c r="NN12" s="123"/>
      <c r="NO12" s="123"/>
      <c r="NP12" s="123"/>
      <c r="NQ12" s="123"/>
      <c r="NR12" s="123"/>
      <c r="NS12" s="123"/>
      <c r="NT12" s="123"/>
      <c r="NU12" s="123"/>
      <c r="NV12" s="123"/>
      <c r="NW12" s="123"/>
      <c r="NX12" s="123"/>
      <c r="NY12" s="123"/>
      <c r="NZ12" s="123"/>
      <c r="OA12" s="123"/>
      <c r="OB12" s="123"/>
      <c r="OC12" s="123"/>
      <c r="OD12" s="123"/>
      <c r="OE12" s="123"/>
      <c r="OF12" s="123"/>
      <c r="OG12" s="123"/>
      <c r="OH12" s="123"/>
      <c r="OI12" s="123"/>
      <c r="OJ12" s="123"/>
      <c r="OK12" s="123"/>
      <c r="OL12" s="123"/>
      <c r="OM12" s="123"/>
      <c r="ON12" s="123"/>
      <c r="OO12" s="123"/>
      <c r="OP12" s="123"/>
      <c r="OQ12" s="123"/>
      <c r="OR12" s="123"/>
      <c r="OS12" s="123"/>
      <c r="OT12" s="123"/>
      <c r="OU12" s="123"/>
      <c r="OV12" s="123"/>
      <c r="OW12" s="123"/>
      <c r="OX12" s="123"/>
      <c r="OY12" s="123"/>
      <c r="OZ12" s="123"/>
      <c r="PA12" s="123"/>
      <c r="PB12" s="123"/>
      <c r="PC12" s="123"/>
      <c r="PD12" s="123"/>
      <c r="PE12" s="123"/>
      <c r="PF12" s="123"/>
      <c r="PG12" s="123"/>
      <c r="PH12" s="123"/>
      <c r="PI12" s="123"/>
      <c r="PJ12" s="123"/>
      <c r="PK12" s="123"/>
      <c r="PL12" s="123"/>
      <c r="PM12" s="123"/>
      <c r="PN12" s="123"/>
      <c r="PO12" s="123"/>
      <c r="PP12" s="123"/>
      <c r="PQ12" s="123"/>
      <c r="PR12" s="123"/>
      <c r="PS12" s="123"/>
      <c r="PT12" s="123"/>
      <c r="PU12" s="123"/>
      <c r="PV12" s="123"/>
      <c r="PW12" s="123"/>
      <c r="PX12" s="123"/>
      <c r="PY12" s="123"/>
      <c r="PZ12" s="123"/>
      <c r="QA12" s="123"/>
      <c r="QB12" s="123"/>
      <c r="QC12" s="123"/>
      <c r="QD12" s="123"/>
      <c r="QE12" s="123"/>
      <c r="QF12" s="123"/>
      <c r="QG12" s="123"/>
    </row>
    <row r="13" spans="1:449" s="156" customFormat="1" x14ac:dyDescent="0.25">
      <c r="A13" s="159" t="s">
        <v>32</v>
      </c>
      <c r="B13" s="164">
        <f>+(VLOOKUP(A13,'Ejercicio 1'!$M$40:$R$80,2,FALSE))*VLOOKUP(A13,'Ejercicio 1'!$E$40:$I$80,4,FALSE)</f>
        <v>50500</v>
      </c>
      <c r="C13" s="61" t="str">
        <f>+VLOOKUP(A13,'Ejercicio 1'!$E$40:$I$80,5,FALSE)</f>
        <v>u</v>
      </c>
      <c r="D13" s="160">
        <f>+(VLOOKUP(A13,'Ejercicio 1'!$M$40:$R$80,4,FALSE)+VLOOKUP(A13,'Ejercicio 1'!$M$40:$R$80,5,FALSE))*VLOOKUP(A13,'Ejercicio 1'!$E$40:$I$80,4,FALSE)/11</f>
        <v>4590.909090909091</v>
      </c>
      <c r="E13" s="168">
        <v>3</v>
      </c>
      <c r="F13" s="199">
        <f>9000+G13</f>
        <v>25833.333333333332</v>
      </c>
      <c r="G13" s="200">
        <f t="shared" ref="G13" si="20">+$B13/$E13</f>
        <v>16833.333333333332</v>
      </c>
      <c r="H13" s="199">
        <f t="shared" si="14"/>
        <v>21242.42424242424</v>
      </c>
      <c r="I13" s="200"/>
      <c r="J13" s="199">
        <f t="shared" si="1"/>
        <v>16651.515151515148</v>
      </c>
      <c r="K13" s="200"/>
      <c r="L13" s="199">
        <f t="shared" si="2"/>
        <v>12060.606060606056</v>
      </c>
      <c r="M13" s="200"/>
      <c r="N13" s="199">
        <f t="shared" si="3"/>
        <v>7469.6969696969654</v>
      </c>
      <c r="O13" s="200"/>
      <c r="P13" s="199">
        <f t="shared" si="5"/>
        <v>19712.121212121205</v>
      </c>
      <c r="Q13" s="200">
        <f t="shared" ref="Q13" si="21">+$B13/$E13</f>
        <v>16833.333333333332</v>
      </c>
      <c r="R13" s="199">
        <f t="shared" si="6"/>
        <v>15121.212121212113</v>
      </c>
      <c r="S13" s="200"/>
      <c r="T13" s="199">
        <f t="shared" si="8"/>
        <v>10530.303030303021</v>
      </c>
      <c r="U13" s="200"/>
      <c r="V13" s="199">
        <f t="shared" si="9"/>
        <v>5939.3939393939299</v>
      </c>
      <c r="W13" s="200"/>
      <c r="X13" s="199">
        <f t="shared" si="10"/>
        <v>1348.4848484848389</v>
      </c>
      <c r="Y13" s="200"/>
      <c r="Z13" s="199">
        <f t="shared" si="12"/>
        <v>13590.909090909077</v>
      </c>
      <c r="AA13" s="200">
        <f t="shared" ref="AA13" si="22">+$B13/$E13</f>
        <v>16833.333333333332</v>
      </c>
      <c r="AB13" s="199">
        <f t="shared" si="12"/>
        <v>8999.9999999999854</v>
      </c>
      <c r="AC13" s="200"/>
      <c r="AD13" s="125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  <c r="IW13" s="123"/>
      <c r="IX13" s="123"/>
      <c r="IY13" s="123"/>
      <c r="IZ13" s="123"/>
      <c r="JA13" s="123"/>
      <c r="JB13" s="123"/>
      <c r="JC13" s="123"/>
      <c r="JD13" s="123"/>
      <c r="JE13" s="123"/>
      <c r="JF13" s="123"/>
      <c r="JG13" s="123"/>
      <c r="JH13" s="123"/>
      <c r="JI13" s="123"/>
      <c r="JJ13" s="123"/>
      <c r="JK13" s="123"/>
      <c r="JL13" s="123"/>
      <c r="JM13" s="123"/>
      <c r="JN13" s="123"/>
      <c r="JO13" s="123"/>
      <c r="JP13" s="123"/>
      <c r="JQ13" s="123"/>
      <c r="JR13" s="123"/>
      <c r="JS13" s="123"/>
      <c r="JT13" s="123"/>
      <c r="JU13" s="123"/>
      <c r="JV13" s="123"/>
      <c r="JW13" s="123"/>
      <c r="JX13" s="123"/>
      <c r="JY13" s="123"/>
      <c r="JZ13" s="123"/>
      <c r="KA13" s="123"/>
      <c r="KB13" s="123"/>
      <c r="KC13" s="123"/>
      <c r="KD13" s="123"/>
      <c r="KE13" s="123"/>
      <c r="KF13" s="123"/>
      <c r="KG13" s="123"/>
      <c r="KH13" s="123"/>
      <c r="KI13" s="123"/>
      <c r="KJ13" s="123"/>
      <c r="KK13" s="123"/>
      <c r="KL13" s="123"/>
      <c r="KM13" s="123"/>
      <c r="KN13" s="123"/>
      <c r="KO13" s="123"/>
      <c r="KP13" s="123"/>
      <c r="KQ13" s="123"/>
      <c r="KR13" s="123"/>
      <c r="KS13" s="123"/>
      <c r="KT13" s="123"/>
      <c r="KU13" s="123"/>
      <c r="KV13" s="123"/>
      <c r="KW13" s="123"/>
      <c r="KX13" s="123"/>
      <c r="KY13" s="123"/>
      <c r="KZ13" s="123"/>
      <c r="LA13" s="123"/>
      <c r="LB13" s="123"/>
      <c r="LC13" s="123"/>
      <c r="LD13" s="123"/>
      <c r="LE13" s="123"/>
      <c r="LF13" s="123"/>
      <c r="LG13" s="123"/>
      <c r="LH13" s="123"/>
      <c r="LI13" s="123"/>
      <c r="LJ13" s="123"/>
      <c r="LK13" s="123"/>
      <c r="LL13" s="123"/>
      <c r="LM13" s="123"/>
      <c r="LN13" s="123"/>
      <c r="LO13" s="123"/>
      <c r="LP13" s="123"/>
      <c r="LQ13" s="123"/>
      <c r="LR13" s="123"/>
      <c r="LS13" s="123"/>
      <c r="LT13" s="123"/>
      <c r="LU13" s="123"/>
      <c r="LV13" s="123"/>
      <c r="LW13" s="123"/>
      <c r="LX13" s="123"/>
      <c r="LY13" s="123"/>
      <c r="LZ13" s="123"/>
      <c r="MA13" s="123"/>
      <c r="MB13" s="123"/>
      <c r="MC13" s="123"/>
      <c r="MD13" s="123"/>
      <c r="ME13" s="123"/>
      <c r="MF13" s="123"/>
      <c r="MG13" s="123"/>
      <c r="MH13" s="123"/>
      <c r="MI13" s="123"/>
      <c r="MJ13" s="123"/>
      <c r="MK13" s="123"/>
      <c r="ML13" s="123"/>
      <c r="MM13" s="123"/>
      <c r="MN13" s="123"/>
      <c r="MO13" s="123"/>
      <c r="MP13" s="123"/>
      <c r="MQ13" s="123"/>
      <c r="MR13" s="123"/>
      <c r="MS13" s="123"/>
      <c r="MT13" s="123"/>
      <c r="MU13" s="123"/>
      <c r="MV13" s="123"/>
      <c r="MW13" s="123"/>
      <c r="MX13" s="123"/>
      <c r="MY13" s="123"/>
      <c r="MZ13" s="123"/>
      <c r="NA13" s="123"/>
      <c r="NB13" s="123"/>
      <c r="NC13" s="123"/>
      <c r="ND13" s="123"/>
      <c r="NE13" s="123"/>
      <c r="NF13" s="123"/>
      <c r="NG13" s="123"/>
      <c r="NH13" s="123"/>
      <c r="NI13" s="123"/>
      <c r="NJ13" s="123"/>
      <c r="NK13" s="123"/>
      <c r="NL13" s="123"/>
      <c r="NM13" s="123"/>
      <c r="NN13" s="123"/>
      <c r="NO13" s="123"/>
      <c r="NP13" s="123"/>
      <c r="NQ13" s="123"/>
      <c r="NR13" s="123"/>
      <c r="NS13" s="123"/>
      <c r="NT13" s="123"/>
      <c r="NU13" s="123"/>
      <c r="NV13" s="123"/>
      <c r="NW13" s="123"/>
      <c r="NX13" s="123"/>
      <c r="NY13" s="123"/>
      <c r="NZ13" s="123"/>
      <c r="OA13" s="123"/>
      <c r="OB13" s="123"/>
      <c r="OC13" s="123"/>
      <c r="OD13" s="123"/>
      <c r="OE13" s="123"/>
      <c r="OF13" s="123"/>
      <c r="OG13" s="123"/>
      <c r="OH13" s="123"/>
      <c r="OI13" s="123"/>
      <c r="OJ13" s="123"/>
      <c r="OK13" s="123"/>
      <c r="OL13" s="123"/>
      <c r="OM13" s="123"/>
      <c r="ON13" s="123"/>
      <c r="OO13" s="123"/>
      <c r="OP13" s="123"/>
      <c r="OQ13" s="123"/>
      <c r="OR13" s="123"/>
      <c r="OS13" s="123"/>
      <c r="OT13" s="123"/>
      <c r="OU13" s="123"/>
      <c r="OV13" s="123"/>
      <c r="OW13" s="123"/>
      <c r="OX13" s="123"/>
      <c r="OY13" s="123"/>
      <c r="OZ13" s="123"/>
      <c r="PA13" s="123"/>
      <c r="PB13" s="123"/>
      <c r="PC13" s="123"/>
      <c r="PD13" s="123"/>
      <c r="PE13" s="123"/>
      <c r="PF13" s="123"/>
      <c r="PG13" s="123"/>
      <c r="PH13" s="123"/>
      <c r="PI13" s="123"/>
      <c r="PJ13" s="123"/>
      <c r="PK13" s="123"/>
      <c r="PL13" s="123"/>
      <c r="PM13" s="123"/>
      <c r="PN13" s="123"/>
      <c r="PO13" s="123"/>
      <c r="PP13" s="123"/>
      <c r="PQ13" s="123"/>
      <c r="PR13" s="123"/>
      <c r="PS13" s="123"/>
      <c r="PT13" s="123"/>
      <c r="PU13" s="123"/>
      <c r="PV13" s="123"/>
      <c r="PW13" s="123"/>
      <c r="PX13" s="123"/>
      <c r="PY13" s="123"/>
      <c r="PZ13" s="123"/>
      <c r="QA13" s="123"/>
      <c r="QB13" s="123"/>
      <c r="QC13" s="123"/>
      <c r="QD13" s="123"/>
      <c r="QE13" s="123"/>
      <c r="QF13" s="123"/>
      <c r="QG13" s="123"/>
    </row>
    <row r="14" spans="1:449" s="156" customFormat="1" ht="90" x14ac:dyDescent="0.25">
      <c r="A14" s="159" t="s">
        <v>68</v>
      </c>
      <c r="B14" s="164">
        <f>+(VLOOKUP(A14,'Ejercicio 1'!$M$40:$R$80,2,FALSE))*VLOOKUP(A14,'Ejercicio 1'!$E$40:$I$80,4,FALSE)</f>
        <v>51510</v>
      </c>
      <c r="C14" s="61" t="str">
        <f>+VLOOKUP(A14,'Ejercicio 1'!$E$40:$I$80,5,FALSE)</f>
        <v>u</v>
      </c>
      <c r="D14" s="160">
        <f>+(VLOOKUP(A14,'Ejercicio 1'!$M$40:$R$80,4,FALSE)+VLOOKUP(A14,'Ejercicio 1'!$M$40:$R$80,5,FALSE))*VLOOKUP(A14,'Ejercicio 1'!$E$40:$I$80,4,FALSE)/11</f>
        <v>4682.727272727273</v>
      </c>
      <c r="E14" s="168">
        <v>4</v>
      </c>
      <c r="F14" s="199">
        <f>2500+G14</f>
        <v>2500</v>
      </c>
      <c r="G14" s="200"/>
      <c r="H14" s="199">
        <f t="shared" si="14"/>
        <v>10694.772727272728</v>
      </c>
      <c r="I14" s="200">
        <f t="shared" ref="I14:I17" si="23">+$B14/$E14</f>
        <v>12877.5</v>
      </c>
      <c r="J14" s="199">
        <f t="shared" si="1"/>
        <v>6012.045454545455</v>
      </c>
      <c r="K14" s="200"/>
      <c r="L14" s="199">
        <f t="shared" si="2"/>
        <v>1329.318181818182</v>
      </c>
      <c r="M14" s="200"/>
      <c r="N14" s="199">
        <f t="shared" si="3"/>
        <v>9524.0909090909081</v>
      </c>
      <c r="O14" s="200">
        <f t="shared" ref="O14:O17" si="24">+$B14/$E14</f>
        <v>12877.5</v>
      </c>
      <c r="P14" s="199">
        <f t="shared" si="5"/>
        <v>4841.3636363636351</v>
      </c>
      <c r="Q14" s="200"/>
      <c r="R14" s="199">
        <f t="shared" si="6"/>
        <v>13036.136363636364</v>
      </c>
      <c r="S14" s="200">
        <f t="shared" ref="S14:S17" si="25">+$B14/$E14</f>
        <v>12877.5</v>
      </c>
      <c r="T14" s="199">
        <f t="shared" si="8"/>
        <v>8353.4090909090919</v>
      </c>
      <c r="U14" s="200"/>
      <c r="V14" s="199">
        <f t="shared" si="9"/>
        <v>3670.6818181818189</v>
      </c>
      <c r="W14" s="200"/>
      <c r="X14" s="199">
        <f t="shared" si="10"/>
        <v>11865.454545454548</v>
      </c>
      <c r="Y14" s="200">
        <f t="shared" ref="Y14:Y17" si="26">+$B14/$E14</f>
        <v>12877.5</v>
      </c>
      <c r="Z14" s="199">
        <f t="shared" si="12"/>
        <v>7182.7272727272748</v>
      </c>
      <c r="AA14" s="200"/>
      <c r="AB14" s="199">
        <f t="shared" si="12"/>
        <v>15377.500000000004</v>
      </c>
      <c r="AC14" s="200">
        <f t="shared" ref="AC14:AC17" si="27">+$B14/$E14</f>
        <v>12877.5</v>
      </c>
      <c r="AD14" s="125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  <c r="IW14" s="123"/>
      <c r="IX14" s="123"/>
      <c r="IY14" s="123"/>
      <c r="IZ14" s="123"/>
      <c r="JA14" s="123"/>
      <c r="JB14" s="123"/>
      <c r="JC14" s="123"/>
      <c r="JD14" s="123"/>
      <c r="JE14" s="123"/>
      <c r="JF14" s="123"/>
      <c r="JG14" s="123"/>
      <c r="JH14" s="123"/>
      <c r="JI14" s="123"/>
      <c r="JJ14" s="123"/>
      <c r="JK14" s="123"/>
      <c r="JL14" s="123"/>
      <c r="JM14" s="123"/>
      <c r="JN14" s="123"/>
      <c r="JO14" s="123"/>
      <c r="JP14" s="123"/>
      <c r="JQ14" s="123"/>
      <c r="JR14" s="123"/>
      <c r="JS14" s="123"/>
      <c r="JT14" s="123"/>
      <c r="JU14" s="123"/>
      <c r="JV14" s="123"/>
      <c r="JW14" s="123"/>
      <c r="JX14" s="123"/>
      <c r="JY14" s="123"/>
      <c r="JZ14" s="123"/>
      <c r="KA14" s="123"/>
      <c r="KB14" s="123"/>
      <c r="KC14" s="123"/>
      <c r="KD14" s="123"/>
      <c r="KE14" s="123"/>
      <c r="KF14" s="123"/>
      <c r="KG14" s="123"/>
      <c r="KH14" s="123"/>
      <c r="KI14" s="123"/>
      <c r="KJ14" s="123"/>
      <c r="KK14" s="123"/>
      <c r="KL14" s="123"/>
      <c r="KM14" s="123"/>
      <c r="KN14" s="123"/>
      <c r="KO14" s="123"/>
      <c r="KP14" s="123"/>
      <c r="KQ14" s="123"/>
      <c r="KR14" s="123"/>
      <c r="KS14" s="123"/>
      <c r="KT14" s="123"/>
      <c r="KU14" s="123"/>
      <c r="KV14" s="123"/>
      <c r="KW14" s="123"/>
      <c r="KX14" s="123"/>
      <c r="KY14" s="123"/>
      <c r="KZ14" s="123"/>
      <c r="LA14" s="123"/>
      <c r="LB14" s="123"/>
      <c r="LC14" s="123"/>
      <c r="LD14" s="123"/>
      <c r="LE14" s="123"/>
      <c r="LF14" s="123"/>
      <c r="LG14" s="123"/>
      <c r="LH14" s="123"/>
      <c r="LI14" s="123"/>
      <c r="LJ14" s="123"/>
      <c r="LK14" s="123"/>
      <c r="LL14" s="123"/>
      <c r="LM14" s="123"/>
      <c r="LN14" s="123"/>
      <c r="LO14" s="123"/>
      <c r="LP14" s="123"/>
      <c r="LQ14" s="123"/>
      <c r="LR14" s="123"/>
      <c r="LS14" s="123"/>
      <c r="LT14" s="123"/>
      <c r="LU14" s="123"/>
      <c r="LV14" s="123"/>
      <c r="LW14" s="123"/>
      <c r="LX14" s="123"/>
      <c r="LY14" s="123"/>
      <c r="LZ14" s="123"/>
      <c r="MA14" s="123"/>
      <c r="MB14" s="123"/>
      <c r="MC14" s="123"/>
      <c r="MD14" s="123"/>
      <c r="ME14" s="123"/>
      <c r="MF14" s="123"/>
      <c r="MG14" s="123"/>
      <c r="MH14" s="123"/>
      <c r="MI14" s="123"/>
      <c r="MJ14" s="123"/>
      <c r="MK14" s="123"/>
      <c r="ML14" s="123"/>
      <c r="MM14" s="123"/>
      <c r="MN14" s="123"/>
      <c r="MO14" s="123"/>
      <c r="MP14" s="123"/>
      <c r="MQ14" s="123"/>
      <c r="MR14" s="123"/>
      <c r="MS14" s="123"/>
      <c r="MT14" s="123"/>
      <c r="MU14" s="123"/>
      <c r="MV14" s="123"/>
      <c r="MW14" s="123"/>
      <c r="MX14" s="123"/>
      <c r="MY14" s="123"/>
      <c r="MZ14" s="123"/>
      <c r="NA14" s="123"/>
      <c r="NB14" s="123"/>
      <c r="NC14" s="123"/>
      <c r="ND14" s="123"/>
      <c r="NE14" s="123"/>
      <c r="NF14" s="123"/>
      <c r="NG14" s="123"/>
      <c r="NH14" s="123"/>
      <c r="NI14" s="123"/>
      <c r="NJ14" s="123"/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  <c r="NY14" s="123"/>
      <c r="NZ14" s="123"/>
      <c r="OA14" s="123"/>
      <c r="OB14" s="123"/>
      <c r="OC14" s="123"/>
      <c r="OD14" s="123"/>
      <c r="OE14" s="123"/>
      <c r="OF14" s="123"/>
      <c r="OG14" s="123"/>
      <c r="OH14" s="123"/>
      <c r="OI14" s="123"/>
      <c r="OJ14" s="123"/>
      <c r="OK14" s="123"/>
      <c r="OL14" s="123"/>
      <c r="OM14" s="123"/>
      <c r="ON14" s="123"/>
      <c r="OO14" s="123"/>
      <c r="OP14" s="123"/>
      <c r="OQ14" s="123"/>
      <c r="OR14" s="123"/>
      <c r="OS14" s="123"/>
      <c r="OT14" s="123"/>
      <c r="OU14" s="123"/>
      <c r="OV14" s="123"/>
      <c r="OW14" s="123"/>
      <c r="OX14" s="123"/>
      <c r="OY14" s="123"/>
      <c r="OZ14" s="123"/>
      <c r="PA14" s="123"/>
      <c r="PB14" s="123"/>
      <c r="PC14" s="123"/>
      <c r="PD14" s="123"/>
      <c r="PE14" s="123"/>
      <c r="PF14" s="123"/>
      <c r="PG14" s="123"/>
      <c r="PH14" s="123"/>
      <c r="PI14" s="123"/>
      <c r="PJ14" s="123"/>
      <c r="PK14" s="123"/>
      <c r="PL14" s="123"/>
      <c r="PM14" s="123"/>
      <c r="PN14" s="123"/>
      <c r="PO14" s="123"/>
      <c r="PP14" s="123"/>
      <c r="PQ14" s="123"/>
      <c r="PR14" s="123"/>
      <c r="PS14" s="123"/>
      <c r="PT14" s="123"/>
      <c r="PU14" s="123"/>
      <c r="PV14" s="123"/>
      <c r="PW14" s="123"/>
      <c r="PX14" s="123"/>
      <c r="PY14" s="123"/>
      <c r="PZ14" s="123"/>
      <c r="QA14" s="123"/>
      <c r="QB14" s="123"/>
      <c r="QC14" s="123"/>
      <c r="QD14" s="123"/>
      <c r="QE14" s="123"/>
      <c r="QF14" s="123"/>
      <c r="QG14" s="123"/>
    </row>
    <row r="15" spans="1:449" s="156" customFormat="1" ht="45" x14ac:dyDescent="0.25">
      <c r="A15" s="159" t="s">
        <v>49</v>
      </c>
      <c r="B15" s="164">
        <f>+(VLOOKUP(A15,'Ejercicio 1'!$M$40:$R$80,2,FALSE))*VLOOKUP(A15,'Ejercicio 1'!$E$40:$I$80,4,FALSE)</f>
        <v>51510</v>
      </c>
      <c r="C15" s="61" t="str">
        <f>+VLOOKUP(A15,'Ejercicio 1'!$E$40:$I$80,5,FALSE)</f>
        <v>u</v>
      </c>
      <c r="D15" s="160">
        <f>+(VLOOKUP(A15,'Ejercicio 1'!$M$40:$R$80,4,FALSE)+VLOOKUP(A15,'Ejercicio 1'!$M$40:$R$80,5,FALSE))*VLOOKUP(A15,'Ejercicio 1'!$E$40:$I$80,4,FALSE)/11</f>
        <v>4682.727272727273</v>
      </c>
      <c r="E15" s="168">
        <v>4</v>
      </c>
      <c r="F15" s="199">
        <f>2500+G15</f>
        <v>2500</v>
      </c>
      <c r="G15" s="200"/>
      <c r="H15" s="199">
        <f t="shared" si="14"/>
        <v>10694.772727272728</v>
      </c>
      <c r="I15" s="200">
        <f t="shared" si="23"/>
        <v>12877.5</v>
      </c>
      <c r="J15" s="199">
        <f t="shared" si="1"/>
        <v>6012.045454545455</v>
      </c>
      <c r="K15" s="200"/>
      <c r="L15" s="199">
        <f t="shared" si="2"/>
        <v>1329.318181818182</v>
      </c>
      <c r="M15" s="200"/>
      <c r="N15" s="199">
        <f t="shared" si="3"/>
        <v>9524.0909090909081</v>
      </c>
      <c r="O15" s="200">
        <f t="shared" si="24"/>
        <v>12877.5</v>
      </c>
      <c r="P15" s="199">
        <f t="shared" si="5"/>
        <v>4841.3636363636351</v>
      </c>
      <c r="Q15" s="200"/>
      <c r="R15" s="199">
        <f t="shared" si="6"/>
        <v>13036.136363636364</v>
      </c>
      <c r="S15" s="200">
        <f t="shared" si="25"/>
        <v>12877.5</v>
      </c>
      <c r="T15" s="199">
        <f t="shared" si="8"/>
        <v>8353.4090909090919</v>
      </c>
      <c r="U15" s="200"/>
      <c r="V15" s="199">
        <f t="shared" si="9"/>
        <v>3670.6818181818189</v>
      </c>
      <c r="W15" s="200"/>
      <c r="X15" s="199">
        <f t="shared" si="10"/>
        <v>11865.454545454548</v>
      </c>
      <c r="Y15" s="200">
        <f t="shared" si="26"/>
        <v>12877.5</v>
      </c>
      <c r="Z15" s="199">
        <f t="shared" si="12"/>
        <v>7182.7272727272748</v>
      </c>
      <c r="AA15" s="200"/>
      <c r="AB15" s="199">
        <f t="shared" si="12"/>
        <v>15377.500000000004</v>
      </c>
      <c r="AC15" s="200">
        <f t="shared" si="27"/>
        <v>12877.5</v>
      </c>
      <c r="AD15" s="125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  <c r="IW15" s="123"/>
      <c r="IX15" s="123"/>
      <c r="IY15" s="123"/>
      <c r="IZ15" s="123"/>
      <c r="JA15" s="123"/>
      <c r="JB15" s="123"/>
      <c r="JC15" s="123"/>
      <c r="JD15" s="123"/>
      <c r="JE15" s="123"/>
      <c r="JF15" s="123"/>
      <c r="JG15" s="123"/>
      <c r="JH15" s="123"/>
      <c r="JI15" s="123"/>
      <c r="JJ15" s="123"/>
      <c r="JK15" s="123"/>
      <c r="JL15" s="123"/>
      <c r="JM15" s="123"/>
      <c r="JN15" s="123"/>
      <c r="JO15" s="123"/>
      <c r="JP15" s="123"/>
      <c r="JQ15" s="123"/>
      <c r="JR15" s="123"/>
      <c r="JS15" s="123"/>
      <c r="JT15" s="123"/>
      <c r="JU15" s="123"/>
      <c r="JV15" s="123"/>
      <c r="JW15" s="123"/>
      <c r="JX15" s="123"/>
      <c r="JY15" s="123"/>
      <c r="JZ15" s="123"/>
      <c r="KA15" s="123"/>
      <c r="KB15" s="123"/>
      <c r="KC15" s="123"/>
      <c r="KD15" s="123"/>
      <c r="KE15" s="123"/>
      <c r="KF15" s="123"/>
      <c r="KG15" s="123"/>
      <c r="KH15" s="123"/>
      <c r="KI15" s="123"/>
      <c r="KJ15" s="123"/>
      <c r="KK15" s="123"/>
      <c r="KL15" s="123"/>
      <c r="KM15" s="123"/>
      <c r="KN15" s="123"/>
      <c r="KO15" s="123"/>
      <c r="KP15" s="123"/>
      <c r="KQ15" s="123"/>
      <c r="KR15" s="123"/>
      <c r="KS15" s="123"/>
      <c r="KT15" s="123"/>
      <c r="KU15" s="123"/>
      <c r="KV15" s="123"/>
      <c r="KW15" s="123"/>
      <c r="KX15" s="123"/>
      <c r="KY15" s="123"/>
      <c r="KZ15" s="123"/>
      <c r="LA15" s="123"/>
      <c r="LB15" s="123"/>
      <c r="LC15" s="123"/>
      <c r="LD15" s="123"/>
      <c r="LE15" s="123"/>
      <c r="LF15" s="123"/>
      <c r="LG15" s="123"/>
      <c r="LH15" s="123"/>
      <c r="LI15" s="123"/>
      <c r="LJ15" s="123"/>
      <c r="LK15" s="123"/>
      <c r="LL15" s="123"/>
      <c r="LM15" s="123"/>
      <c r="LN15" s="123"/>
      <c r="LO15" s="123"/>
      <c r="LP15" s="123"/>
      <c r="LQ15" s="123"/>
      <c r="LR15" s="123"/>
      <c r="LS15" s="123"/>
      <c r="LT15" s="123"/>
      <c r="LU15" s="123"/>
      <c r="LV15" s="123"/>
      <c r="LW15" s="123"/>
      <c r="LX15" s="123"/>
      <c r="LY15" s="123"/>
      <c r="LZ15" s="123"/>
      <c r="MA15" s="123"/>
      <c r="MB15" s="123"/>
      <c r="MC15" s="123"/>
      <c r="MD15" s="123"/>
      <c r="ME15" s="123"/>
      <c r="MF15" s="123"/>
      <c r="MG15" s="123"/>
      <c r="MH15" s="123"/>
      <c r="MI15" s="123"/>
      <c r="MJ15" s="123"/>
      <c r="MK15" s="123"/>
      <c r="ML15" s="123"/>
      <c r="MM15" s="123"/>
      <c r="MN15" s="123"/>
      <c r="MO15" s="123"/>
      <c r="MP15" s="123"/>
      <c r="MQ15" s="123"/>
      <c r="MR15" s="123"/>
      <c r="MS15" s="123"/>
      <c r="MT15" s="123"/>
      <c r="MU15" s="123"/>
      <c r="MV15" s="123"/>
      <c r="MW15" s="123"/>
      <c r="MX15" s="123"/>
      <c r="MY15" s="123"/>
      <c r="MZ15" s="123"/>
      <c r="NA15" s="123"/>
      <c r="NB15" s="123"/>
      <c r="NC15" s="123"/>
      <c r="ND15" s="123"/>
      <c r="NE15" s="123"/>
      <c r="NF15" s="123"/>
      <c r="NG15" s="123"/>
      <c r="NH15" s="123"/>
      <c r="NI15" s="123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  <c r="NY15" s="123"/>
      <c r="NZ15" s="123"/>
      <c r="OA15" s="123"/>
      <c r="OB15" s="123"/>
      <c r="OC15" s="123"/>
      <c r="OD15" s="123"/>
      <c r="OE15" s="123"/>
      <c r="OF15" s="123"/>
      <c r="OG15" s="123"/>
      <c r="OH15" s="123"/>
      <c r="OI15" s="123"/>
      <c r="OJ15" s="123"/>
      <c r="OK15" s="123"/>
      <c r="OL15" s="123"/>
      <c r="OM15" s="123"/>
      <c r="ON15" s="123"/>
      <c r="OO15" s="123"/>
      <c r="OP15" s="123"/>
      <c r="OQ15" s="123"/>
      <c r="OR15" s="123"/>
      <c r="OS15" s="123"/>
      <c r="OT15" s="123"/>
      <c r="OU15" s="123"/>
      <c r="OV15" s="123"/>
      <c r="OW15" s="123"/>
      <c r="OX15" s="123"/>
      <c r="OY15" s="123"/>
      <c r="OZ15" s="123"/>
      <c r="PA15" s="123"/>
      <c r="PB15" s="123"/>
      <c r="PC15" s="123"/>
      <c r="PD15" s="123"/>
      <c r="PE15" s="123"/>
      <c r="PF15" s="123"/>
      <c r="PG15" s="123"/>
      <c r="PH15" s="123"/>
      <c r="PI15" s="123"/>
      <c r="PJ15" s="123"/>
      <c r="PK15" s="123"/>
      <c r="PL15" s="123"/>
      <c r="PM15" s="123"/>
      <c r="PN15" s="123"/>
      <c r="PO15" s="123"/>
      <c r="PP15" s="123"/>
      <c r="PQ15" s="123"/>
      <c r="PR15" s="123"/>
      <c r="PS15" s="123"/>
      <c r="PT15" s="123"/>
      <c r="PU15" s="123"/>
      <c r="PV15" s="123"/>
      <c r="PW15" s="123"/>
      <c r="PX15" s="123"/>
      <c r="PY15" s="123"/>
      <c r="PZ15" s="123"/>
      <c r="QA15" s="123"/>
      <c r="QB15" s="123"/>
      <c r="QC15" s="123"/>
      <c r="QD15" s="123"/>
      <c r="QE15" s="123"/>
      <c r="QF15" s="123"/>
      <c r="QG15" s="123"/>
    </row>
    <row r="16" spans="1:449" s="156" customFormat="1" ht="45" x14ac:dyDescent="0.25">
      <c r="A16" s="159" t="s">
        <v>64</v>
      </c>
      <c r="B16" s="164">
        <f>+(VLOOKUP(A16,'Ejercicio 1'!$M$40:$R$80,2,FALSE))*VLOOKUP(A16,'Ejercicio 1'!$E$40:$I$80,4,FALSE)</f>
        <v>51510</v>
      </c>
      <c r="C16" s="61" t="str">
        <f>+VLOOKUP(A16,'Ejercicio 1'!$E$40:$I$80,5,FALSE)</f>
        <v>u</v>
      </c>
      <c r="D16" s="160">
        <f>+(VLOOKUP(A16,'Ejercicio 1'!$M$40:$R$80,4,FALSE)+VLOOKUP(A16,'Ejercicio 1'!$M$40:$R$80,5,FALSE))*VLOOKUP(A16,'Ejercicio 1'!$E$40:$I$80,4,FALSE)/11</f>
        <v>4682.727272727273</v>
      </c>
      <c r="E16" s="168">
        <v>4</v>
      </c>
      <c r="F16" s="199">
        <f>11000+G16</f>
        <v>11000</v>
      </c>
      <c r="G16" s="200"/>
      <c r="H16" s="199">
        <f t="shared" si="14"/>
        <v>19194.772727272728</v>
      </c>
      <c r="I16" s="200">
        <f t="shared" si="23"/>
        <v>12877.5</v>
      </c>
      <c r="J16" s="199">
        <f t="shared" si="1"/>
        <v>14512.045454545456</v>
      </c>
      <c r="K16" s="200"/>
      <c r="L16" s="199">
        <f t="shared" si="2"/>
        <v>9829.3181818181838</v>
      </c>
      <c r="M16" s="200"/>
      <c r="N16" s="199">
        <f t="shared" si="3"/>
        <v>18024.090909090912</v>
      </c>
      <c r="O16" s="200">
        <f t="shared" si="24"/>
        <v>12877.5</v>
      </c>
      <c r="P16" s="199">
        <f t="shared" si="5"/>
        <v>13341.36363636364</v>
      </c>
      <c r="Q16" s="200"/>
      <c r="R16" s="199">
        <f t="shared" si="6"/>
        <v>21536.136363636368</v>
      </c>
      <c r="S16" s="200">
        <f t="shared" si="25"/>
        <v>12877.5</v>
      </c>
      <c r="T16" s="199">
        <f t="shared" si="8"/>
        <v>16853.409090909096</v>
      </c>
      <c r="U16" s="200"/>
      <c r="V16" s="199">
        <f t="shared" si="9"/>
        <v>12170.681818181823</v>
      </c>
      <c r="W16" s="200"/>
      <c r="X16" s="199">
        <f t="shared" si="10"/>
        <v>20365.454545454551</v>
      </c>
      <c r="Y16" s="200">
        <f t="shared" si="26"/>
        <v>12877.5</v>
      </c>
      <c r="Z16" s="199">
        <f t="shared" si="12"/>
        <v>15682.727272727279</v>
      </c>
      <c r="AA16" s="200"/>
      <c r="AB16" s="199">
        <f t="shared" si="12"/>
        <v>23877.500000000007</v>
      </c>
      <c r="AC16" s="200">
        <f t="shared" si="27"/>
        <v>12877.5</v>
      </c>
      <c r="AD16" s="125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  <c r="IW16" s="123"/>
      <c r="IX16" s="123"/>
      <c r="IY16" s="123"/>
      <c r="IZ16" s="123"/>
      <c r="JA16" s="123"/>
      <c r="JB16" s="123"/>
      <c r="JC16" s="123"/>
      <c r="JD16" s="123"/>
      <c r="JE16" s="123"/>
      <c r="JF16" s="123"/>
      <c r="JG16" s="123"/>
      <c r="JH16" s="123"/>
      <c r="JI16" s="123"/>
      <c r="JJ16" s="123"/>
      <c r="JK16" s="123"/>
      <c r="JL16" s="123"/>
      <c r="JM16" s="123"/>
      <c r="JN16" s="123"/>
      <c r="JO16" s="123"/>
      <c r="JP16" s="123"/>
      <c r="JQ16" s="123"/>
      <c r="JR16" s="123"/>
      <c r="JS16" s="123"/>
      <c r="JT16" s="123"/>
      <c r="JU16" s="123"/>
      <c r="JV16" s="123"/>
      <c r="JW16" s="123"/>
      <c r="JX16" s="123"/>
      <c r="JY16" s="123"/>
      <c r="JZ16" s="123"/>
      <c r="KA16" s="123"/>
      <c r="KB16" s="123"/>
      <c r="KC16" s="123"/>
      <c r="KD16" s="123"/>
      <c r="KE16" s="123"/>
      <c r="KF16" s="123"/>
      <c r="KG16" s="123"/>
      <c r="KH16" s="123"/>
      <c r="KI16" s="123"/>
      <c r="KJ16" s="123"/>
      <c r="KK16" s="123"/>
      <c r="KL16" s="123"/>
      <c r="KM16" s="123"/>
      <c r="KN16" s="123"/>
      <c r="KO16" s="123"/>
      <c r="KP16" s="123"/>
      <c r="KQ16" s="123"/>
      <c r="KR16" s="123"/>
      <c r="KS16" s="123"/>
      <c r="KT16" s="123"/>
      <c r="KU16" s="123"/>
      <c r="KV16" s="123"/>
      <c r="KW16" s="123"/>
      <c r="KX16" s="123"/>
      <c r="KY16" s="123"/>
      <c r="KZ16" s="123"/>
      <c r="LA16" s="123"/>
      <c r="LB16" s="123"/>
      <c r="LC16" s="123"/>
      <c r="LD16" s="123"/>
      <c r="LE16" s="123"/>
      <c r="LF16" s="123"/>
      <c r="LG16" s="123"/>
      <c r="LH16" s="123"/>
      <c r="LI16" s="123"/>
      <c r="LJ16" s="123"/>
      <c r="LK16" s="123"/>
      <c r="LL16" s="123"/>
      <c r="LM16" s="123"/>
      <c r="LN16" s="123"/>
      <c r="LO16" s="123"/>
      <c r="LP16" s="123"/>
      <c r="LQ16" s="123"/>
      <c r="LR16" s="123"/>
      <c r="LS16" s="123"/>
      <c r="LT16" s="123"/>
      <c r="LU16" s="123"/>
      <c r="LV16" s="123"/>
      <c r="LW16" s="123"/>
      <c r="LX16" s="123"/>
      <c r="LY16" s="123"/>
      <c r="LZ16" s="123"/>
      <c r="MA16" s="123"/>
      <c r="MB16" s="123"/>
      <c r="MC16" s="123"/>
      <c r="MD16" s="123"/>
      <c r="ME16" s="123"/>
      <c r="MF16" s="123"/>
      <c r="MG16" s="123"/>
      <c r="MH16" s="123"/>
      <c r="MI16" s="123"/>
      <c r="MJ16" s="123"/>
      <c r="MK16" s="123"/>
      <c r="ML16" s="123"/>
      <c r="MM16" s="123"/>
      <c r="MN16" s="123"/>
      <c r="MO16" s="123"/>
      <c r="MP16" s="123"/>
      <c r="MQ16" s="123"/>
      <c r="MR16" s="123"/>
      <c r="MS16" s="123"/>
      <c r="MT16" s="123"/>
      <c r="MU16" s="123"/>
      <c r="MV16" s="123"/>
      <c r="MW16" s="123"/>
      <c r="MX16" s="123"/>
      <c r="MY16" s="123"/>
      <c r="MZ16" s="123"/>
      <c r="NA16" s="123"/>
      <c r="NB16" s="123"/>
      <c r="NC16" s="123"/>
      <c r="ND16" s="123"/>
      <c r="NE16" s="123"/>
      <c r="NF16" s="123"/>
      <c r="NG16" s="123"/>
      <c r="NH16" s="123"/>
      <c r="NI16" s="123"/>
      <c r="NJ16" s="123"/>
      <c r="NK16" s="123"/>
      <c r="NL16" s="123"/>
      <c r="NM16" s="123"/>
      <c r="NN16" s="123"/>
      <c r="NO16" s="123"/>
      <c r="NP16" s="123"/>
      <c r="NQ16" s="123"/>
      <c r="NR16" s="123"/>
      <c r="NS16" s="123"/>
      <c r="NT16" s="123"/>
      <c r="NU16" s="123"/>
      <c r="NV16" s="123"/>
      <c r="NW16" s="123"/>
      <c r="NX16" s="123"/>
      <c r="NY16" s="123"/>
      <c r="NZ16" s="123"/>
      <c r="OA16" s="123"/>
      <c r="OB16" s="123"/>
      <c r="OC16" s="123"/>
      <c r="OD16" s="123"/>
      <c r="OE16" s="123"/>
      <c r="OF16" s="123"/>
      <c r="OG16" s="123"/>
      <c r="OH16" s="123"/>
      <c r="OI16" s="123"/>
      <c r="OJ16" s="123"/>
      <c r="OK16" s="123"/>
      <c r="OL16" s="123"/>
      <c r="OM16" s="123"/>
      <c r="ON16" s="123"/>
      <c r="OO16" s="123"/>
      <c r="OP16" s="123"/>
      <c r="OQ16" s="123"/>
      <c r="OR16" s="123"/>
      <c r="OS16" s="123"/>
      <c r="OT16" s="123"/>
      <c r="OU16" s="123"/>
      <c r="OV16" s="123"/>
      <c r="OW16" s="123"/>
      <c r="OX16" s="123"/>
      <c r="OY16" s="123"/>
      <c r="OZ16" s="123"/>
      <c r="PA16" s="123"/>
      <c r="PB16" s="123"/>
      <c r="PC16" s="123"/>
      <c r="PD16" s="123"/>
      <c r="PE16" s="123"/>
      <c r="PF16" s="123"/>
      <c r="PG16" s="123"/>
      <c r="PH16" s="123"/>
      <c r="PI16" s="123"/>
      <c r="PJ16" s="123"/>
      <c r="PK16" s="123"/>
      <c r="PL16" s="123"/>
      <c r="PM16" s="123"/>
      <c r="PN16" s="123"/>
      <c r="PO16" s="123"/>
      <c r="PP16" s="123"/>
      <c r="PQ16" s="123"/>
      <c r="PR16" s="123"/>
      <c r="PS16" s="123"/>
      <c r="PT16" s="123"/>
      <c r="PU16" s="123"/>
      <c r="PV16" s="123"/>
      <c r="PW16" s="123"/>
      <c r="PX16" s="123"/>
      <c r="PY16" s="123"/>
      <c r="PZ16" s="123"/>
      <c r="QA16" s="123"/>
      <c r="QB16" s="123"/>
      <c r="QC16" s="123"/>
      <c r="QD16" s="123"/>
      <c r="QE16" s="123"/>
      <c r="QF16" s="123"/>
      <c r="QG16" s="123"/>
    </row>
    <row r="17" spans="1:449" s="156" customFormat="1" ht="45" x14ac:dyDescent="0.25">
      <c r="A17" s="159" t="s">
        <v>70</v>
      </c>
      <c r="B17" s="164">
        <f>+(VLOOKUP(A17,'Ejercicio 1'!$M$40:$R$80,2,FALSE))*VLOOKUP(A17,'Ejercicio 1'!$E$40:$I$80,4,FALSE)</f>
        <v>51510</v>
      </c>
      <c r="C17" s="61" t="str">
        <f>+VLOOKUP(A17,'Ejercicio 1'!$E$40:$I$80,5,FALSE)</f>
        <v>u</v>
      </c>
      <c r="D17" s="160">
        <f>+(VLOOKUP(A17,'Ejercicio 1'!$M$40:$R$80,4,FALSE)+VLOOKUP(A17,'Ejercicio 1'!$M$40:$R$80,5,FALSE))*VLOOKUP(A17,'Ejercicio 1'!$E$40:$I$80,4,FALSE)/11</f>
        <v>4682.727272727273</v>
      </c>
      <c r="E17" s="168">
        <v>4</v>
      </c>
      <c r="F17" s="199">
        <f>10000+G17</f>
        <v>10000</v>
      </c>
      <c r="G17" s="200"/>
      <c r="H17" s="199">
        <f t="shared" si="14"/>
        <v>18194.772727272728</v>
      </c>
      <c r="I17" s="200">
        <f t="shared" si="23"/>
        <v>12877.5</v>
      </c>
      <c r="J17" s="199">
        <f t="shared" si="1"/>
        <v>13512.045454545456</v>
      </c>
      <c r="K17" s="200"/>
      <c r="L17" s="199">
        <f t="shared" si="2"/>
        <v>8829.3181818181838</v>
      </c>
      <c r="M17" s="200"/>
      <c r="N17" s="199">
        <f t="shared" si="3"/>
        <v>17024.090909090912</v>
      </c>
      <c r="O17" s="200">
        <f t="shared" si="24"/>
        <v>12877.5</v>
      </c>
      <c r="P17" s="199">
        <f t="shared" si="5"/>
        <v>12341.36363636364</v>
      </c>
      <c r="Q17" s="200"/>
      <c r="R17" s="199">
        <f t="shared" si="6"/>
        <v>20536.136363636368</v>
      </c>
      <c r="S17" s="200">
        <f t="shared" si="25"/>
        <v>12877.5</v>
      </c>
      <c r="T17" s="199">
        <f t="shared" si="8"/>
        <v>15853.409090909096</v>
      </c>
      <c r="U17" s="200"/>
      <c r="V17" s="199">
        <f t="shared" si="9"/>
        <v>11170.681818181823</v>
      </c>
      <c r="W17" s="200"/>
      <c r="X17" s="199">
        <f t="shared" si="10"/>
        <v>19365.454545454551</v>
      </c>
      <c r="Y17" s="200">
        <f t="shared" si="26"/>
        <v>12877.5</v>
      </c>
      <c r="Z17" s="199">
        <f t="shared" si="12"/>
        <v>14682.727272727279</v>
      </c>
      <c r="AA17" s="200"/>
      <c r="AB17" s="199">
        <f t="shared" si="12"/>
        <v>22877.500000000007</v>
      </c>
      <c r="AC17" s="200">
        <f t="shared" si="27"/>
        <v>12877.5</v>
      </c>
      <c r="AD17" s="125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  <c r="IW17" s="123"/>
      <c r="IX17" s="123"/>
      <c r="IY17" s="123"/>
      <c r="IZ17" s="123"/>
      <c r="JA17" s="123"/>
      <c r="JB17" s="123"/>
      <c r="JC17" s="123"/>
      <c r="JD17" s="123"/>
      <c r="JE17" s="123"/>
      <c r="JF17" s="123"/>
      <c r="JG17" s="123"/>
      <c r="JH17" s="123"/>
      <c r="JI17" s="123"/>
      <c r="JJ17" s="123"/>
      <c r="JK17" s="123"/>
      <c r="JL17" s="123"/>
      <c r="JM17" s="123"/>
      <c r="JN17" s="123"/>
      <c r="JO17" s="123"/>
      <c r="JP17" s="123"/>
      <c r="JQ17" s="123"/>
      <c r="JR17" s="123"/>
      <c r="JS17" s="123"/>
      <c r="JT17" s="123"/>
      <c r="JU17" s="123"/>
      <c r="JV17" s="123"/>
      <c r="JW17" s="123"/>
      <c r="JX17" s="123"/>
      <c r="JY17" s="123"/>
      <c r="JZ17" s="123"/>
      <c r="KA17" s="123"/>
      <c r="KB17" s="123"/>
      <c r="KC17" s="123"/>
      <c r="KD17" s="123"/>
      <c r="KE17" s="123"/>
      <c r="KF17" s="123"/>
      <c r="KG17" s="123"/>
      <c r="KH17" s="123"/>
      <c r="KI17" s="123"/>
      <c r="KJ17" s="123"/>
      <c r="KK17" s="123"/>
      <c r="KL17" s="123"/>
      <c r="KM17" s="123"/>
      <c r="KN17" s="123"/>
      <c r="KO17" s="123"/>
      <c r="KP17" s="123"/>
      <c r="KQ17" s="123"/>
      <c r="KR17" s="123"/>
      <c r="KS17" s="123"/>
      <c r="KT17" s="123"/>
      <c r="KU17" s="123"/>
      <c r="KV17" s="123"/>
      <c r="KW17" s="123"/>
      <c r="KX17" s="123"/>
      <c r="KY17" s="123"/>
      <c r="KZ17" s="123"/>
      <c r="LA17" s="123"/>
      <c r="LB17" s="123"/>
      <c r="LC17" s="123"/>
      <c r="LD17" s="123"/>
      <c r="LE17" s="123"/>
      <c r="LF17" s="123"/>
      <c r="LG17" s="123"/>
      <c r="LH17" s="123"/>
      <c r="LI17" s="123"/>
      <c r="LJ17" s="123"/>
      <c r="LK17" s="123"/>
      <c r="LL17" s="123"/>
      <c r="LM17" s="123"/>
      <c r="LN17" s="123"/>
      <c r="LO17" s="123"/>
      <c r="LP17" s="123"/>
      <c r="LQ17" s="123"/>
      <c r="LR17" s="123"/>
      <c r="LS17" s="123"/>
      <c r="LT17" s="123"/>
      <c r="LU17" s="123"/>
      <c r="LV17" s="123"/>
      <c r="LW17" s="123"/>
      <c r="LX17" s="123"/>
      <c r="LY17" s="123"/>
      <c r="LZ17" s="123"/>
      <c r="MA17" s="123"/>
      <c r="MB17" s="123"/>
      <c r="MC17" s="123"/>
      <c r="MD17" s="123"/>
      <c r="ME17" s="123"/>
      <c r="MF17" s="123"/>
      <c r="MG17" s="123"/>
      <c r="MH17" s="123"/>
      <c r="MI17" s="123"/>
      <c r="MJ17" s="123"/>
      <c r="MK17" s="123"/>
      <c r="ML17" s="123"/>
      <c r="MM17" s="123"/>
      <c r="MN17" s="123"/>
      <c r="MO17" s="123"/>
      <c r="MP17" s="123"/>
      <c r="MQ17" s="123"/>
      <c r="MR17" s="123"/>
      <c r="MS17" s="123"/>
      <c r="MT17" s="123"/>
      <c r="MU17" s="123"/>
      <c r="MV17" s="123"/>
      <c r="MW17" s="123"/>
      <c r="MX17" s="123"/>
      <c r="MY17" s="123"/>
      <c r="MZ17" s="123"/>
      <c r="NA17" s="123"/>
      <c r="NB17" s="123"/>
      <c r="NC17" s="123"/>
      <c r="ND17" s="123"/>
      <c r="NE17" s="123"/>
      <c r="NF17" s="123"/>
      <c r="NG17" s="123"/>
      <c r="NH17" s="123"/>
      <c r="NI17" s="123"/>
      <c r="NJ17" s="123"/>
      <c r="NK17" s="123"/>
      <c r="NL17" s="123"/>
      <c r="NM17" s="123"/>
      <c r="NN17" s="123"/>
      <c r="NO17" s="123"/>
      <c r="NP17" s="123"/>
      <c r="NQ17" s="123"/>
      <c r="NR17" s="123"/>
      <c r="NS17" s="123"/>
      <c r="NT17" s="123"/>
      <c r="NU17" s="123"/>
      <c r="NV17" s="123"/>
      <c r="NW17" s="123"/>
      <c r="NX17" s="123"/>
      <c r="NY17" s="123"/>
      <c r="NZ17" s="123"/>
      <c r="OA17" s="123"/>
      <c r="OB17" s="123"/>
      <c r="OC17" s="123"/>
      <c r="OD17" s="123"/>
      <c r="OE17" s="123"/>
      <c r="OF17" s="123"/>
      <c r="OG17" s="123"/>
      <c r="OH17" s="123"/>
      <c r="OI17" s="123"/>
      <c r="OJ17" s="123"/>
      <c r="OK17" s="123"/>
      <c r="OL17" s="123"/>
      <c r="OM17" s="123"/>
      <c r="ON17" s="123"/>
      <c r="OO17" s="123"/>
      <c r="OP17" s="123"/>
      <c r="OQ17" s="123"/>
      <c r="OR17" s="123"/>
      <c r="OS17" s="123"/>
      <c r="OT17" s="123"/>
      <c r="OU17" s="123"/>
      <c r="OV17" s="123"/>
      <c r="OW17" s="123"/>
      <c r="OX17" s="123"/>
      <c r="OY17" s="123"/>
      <c r="OZ17" s="123"/>
      <c r="PA17" s="123"/>
      <c r="PB17" s="123"/>
      <c r="PC17" s="123"/>
      <c r="PD17" s="123"/>
      <c r="PE17" s="123"/>
      <c r="PF17" s="123"/>
      <c r="PG17" s="123"/>
      <c r="PH17" s="123"/>
      <c r="PI17" s="123"/>
      <c r="PJ17" s="123"/>
      <c r="PK17" s="123"/>
      <c r="PL17" s="123"/>
      <c r="PM17" s="123"/>
      <c r="PN17" s="123"/>
      <c r="PO17" s="123"/>
      <c r="PP17" s="123"/>
      <c r="PQ17" s="123"/>
      <c r="PR17" s="123"/>
      <c r="PS17" s="123"/>
      <c r="PT17" s="123"/>
      <c r="PU17" s="123"/>
      <c r="PV17" s="123"/>
      <c r="PW17" s="123"/>
      <c r="PX17" s="123"/>
      <c r="PY17" s="123"/>
      <c r="PZ17" s="123"/>
      <c r="QA17" s="123"/>
      <c r="QB17" s="123"/>
      <c r="QC17" s="123"/>
      <c r="QD17" s="123"/>
      <c r="QE17" s="123"/>
      <c r="QF17" s="123"/>
      <c r="QG17" s="123"/>
    </row>
    <row r="18" spans="1:449" s="156" customFormat="1" ht="45" x14ac:dyDescent="0.25">
      <c r="A18" s="159" t="s">
        <v>69</v>
      </c>
      <c r="B18" s="164">
        <f>+(VLOOKUP(A18,'Ejercicio 1'!$M$40:$R$80,2,FALSE))*VLOOKUP(A18,'Ejercicio 1'!$E$40:$I$80,4,FALSE)</f>
        <v>103020</v>
      </c>
      <c r="C18" s="61" t="str">
        <f>+VLOOKUP(A18,'Ejercicio 1'!$E$40:$I$80,5,FALSE)</f>
        <v>u</v>
      </c>
      <c r="D18" s="160">
        <f>+(VLOOKUP(A18,'Ejercicio 1'!$M$40:$R$80,4,FALSE)+VLOOKUP(A18,'Ejercicio 1'!$M$40:$R$80,5,FALSE))*VLOOKUP(A18,'Ejercicio 1'!$E$40:$I$80,4,FALSE)/11</f>
        <v>9365.454545454546</v>
      </c>
      <c r="E18" s="168">
        <v>2</v>
      </c>
      <c r="F18" s="199">
        <f>20000+G18</f>
        <v>20000</v>
      </c>
      <c r="G18" s="200"/>
      <c r="H18" s="199">
        <f t="shared" si="14"/>
        <v>10634.545454545454</v>
      </c>
      <c r="I18" s="200"/>
      <c r="J18" s="199">
        <f t="shared" si="1"/>
        <v>1269.0909090909081</v>
      </c>
      <c r="K18" s="200"/>
      <c r="L18" s="199">
        <f t="shared" si="2"/>
        <v>43413.636363636368</v>
      </c>
      <c r="M18" s="200">
        <f t="shared" ref="M18" si="28">+$B18/$E18</f>
        <v>51510</v>
      </c>
      <c r="N18" s="199">
        <f t="shared" si="3"/>
        <v>34048.181818181823</v>
      </c>
      <c r="O18" s="200"/>
      <c r="P18" s="199">
        <f t="shared" si="5"/>
        <v>24682.727272727279</v>
      </c>
      <c r="Q18" s="200"/>
      <c r="R18" s="199">
        <f t="shared" si="6"/>
        <v>15317.272727272733</v>
      </c>
      <c r="S18" s="200"/>
      <c r="T18" s="199">
        <f t="shared" si="8"/>
        <v>5951.8181818181874</v>
      </c>
      <c r="U18" s="200"/>
      <c r="V18" s="199">
        <f t="shared" si="9"/>
        <v>48096.363636363647</v>
      </c>
      <c r="W18" s="200">
        <f t="shared" ref="W18:W22" si="29">+$B18/$E18</f>
        <v>51510</v>
      </c>
      <c r="X18" s="199">
        <f t="shared" si="10"/>
        <v>38730.909090909103</v>
      </c>
      <c r="Y18" s="200"/>
      <c r="Z18" s="199">
        <f t="shared" si="12"/>
        <v>29365.454545454559</v>
      </c>
      <c r="AA18" s="200"/>
      <c r="AB18" s="199">
        <f t="shared" si="12"/>
        <v>20000.000000000015</v>
      </c>
      <c r="AC18" s="200"/>
      <c r="AD18" s="125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  <c r="IW18" s="123"/>
      <c r="IX18" s="123"/>
      <c r="IY18" s="123"/>
      <c r="IZ18" s="123"/>
      <c r="JA18" s="123"/>
      <c r="JB18" s="123"/>
      <c r="JC18" s="123"/>
      <c r="JD18" s="123"/>
      <c r="JE18" s="123"/>
      <c r="JF18" s="123"/>
      <c r="JG18" s="123"/>
      <c r="JH18" s="123"/>
      <c r="JI18" s="123"/>
      <c r="JJ18" s="123"/>
      <c r="JK18" s="123"/>
      <c r="JL18" s="123"/>
      <c r="JM18" s="123"/>
      <c r="JN18" s="123"/>
      <c r="JO18" s="123"/>
      <c r="JP18" s="123"/>
      <c r="JQ18" s="123"/>
      <c r="JR18" s="123"/>
      <c r="JS18" s="123"/>
      <c r="JT18" s="123"/>
      <c r="JU18" s="123"/>
      <c r="JV18" s="123"/>
      <c r="JW18" s="123"/>
      <c r="JX18" s="123"/>
      <c r="JY18" s="123"/>
      <c r="JZ18" s="123"/>
      <c r="KA18" s="123"/>
      <c r="KB18" s="123"/>
      <c r="KC18" s="123"/>
      <c r="KD18" s="123"/>
      <c r="KE18" s="123"/>
      <c r="KF18" s="123"/>
      <c r="KG18" s="123"/>
      <c r="KH18" s="123"/>
      <c r="KI18" s="123"/>
      <c r="KJ18" s="123"/>
      <c r="KK18" s="123"/>
      <c r="KL18" s="123"/>
      <c r="KM18" s="123"/>
      <c r="KN18" s="123"/>
      <c r="KO18" s="123"/>
      <c r="KP18" s="123"/>
      <c r="KQ18" s="123"/>
      <c r="KR18" s="123"/>
      <c r="KS18" s="123"/>
      <c r="KT18" s="123"/>
      <c r="KU18" s="123"/>
      <c r="KV18" s="123"/>
      <c r="KW18" s="123"/>
      <c r="KX18" s="123"/>
      <c r="KY18" s="123"/>
      <c r="KZ18" s="123"/>
      <c r="LA18" s="123"/>
      <c r="LB18" s="123"/>
      <c r="LC18" s="123"/>
      <c r="LD18" s="123"/>
      <c r="LE18" s="123"/>
      <c r="LF18" s="123"/>
      <c r="LG18" s="123"/>
      <c r="LH18" s="123"/>
      <c r="LI18" s="123"/>
      <c r="LJ18" s="123"/>
      <c r="LK18" s="123"/>
      <c r="LL18" s="123"/>
      <c r="LM18" s="123"/>
      <c r="LN18" s="123"/>
      <c r="LO18" s="123"/>
      <c r="LP18" s="123"/>
      <c r="LQ18" s="123"/>
      <c r="LR18" s="123"/>
      <c r="LS18" s="123"/>
      <c r="LT18" s="123"/>
      <c r="LU18" s="123"/>
      <c r="LV18" s="123"/>
      <c r="LW18" s="123"/>
      <c r="LX18" s="123"/>
      <c r="LY18" s="123"/>
      <c r="LZ18" s="123"/>
      <c r="MA18" s="123"/>
      <c r="MB18" s="123"/>
      <c r="MC18" s="123"/>
      <c r="MD18" s="123"/>
      <c r="ME18" s="123"/>
      <c r="MF18" s="123"/>
      <c r="MG18" s="123"/>
      <c r="MH18" s="123"/>
      <c r="MI18" s="123"/>
      <c r="MJ18" s="123"/>
      <c r="MK18" s="123"/>
      <c r="ML18" s="123"/>
      <c r="MM18" s="123"/>
      <c r="MN18" s="123"/>
      <c r="MO18" s="123"/>
      <c r="MP18" s="123"/>
      <c r="MQ18" s="123"/>
      <c r="MR18" s="123"/>
      <c r="MS18" s="123"/>
      <c r="MT18" s="123"/>
      <c r="MU18" s="123"/>
      <c r="MV18" s="123"/>
      <c r="MW18" s="123"/>
      <c r="MX18" s="123"/>
      <c r="MY18" s="123"/>
      <c r="MZ18" s="123"/>
      <c r="NA18" s="123"/>
      <c r="NB18" s="123"/>
      <c r="NC18" s="123"/>
      <c r="ND18" s="123"/>
      <c r="NE18" s="123"/>
      <c r="NF18" s="123"/>
      <c r="NG18" s="123"/>
      <c r="NH18" s="123"/>
      <c r="NI18" s="123"/>
      <c r="NJ18" s="123"/>
      <c r="NK18" s="123"/>
      <c r="NL18" s="123"/>
      <c r="NM18" s="123"/>
      <c r="NN18" s="123"/>
      <c r="NO18" s="123"/>
      <c r="NP18" s="123"/>
      <c r="NQ18" s="123"/>
      <c r="NR18" s="123"/>
      <c r="NS18" s="123"/>
      <c r="NT18" s="123"/>
      <c r="NU18" s="123"/>
      <c r="NV18" s="123"/>
      <c r="NW18" s="123"/>
      <c r="NX18" s="123"/>
      <c r="NY18" s="123"/>
      <c r="NZ18" s="123"/>
      <c r="OA18" s="123"/>
      <c r="OB18" s="123"/>
      <c r="OC18" s="123"/>
      <c r="OD18" s="123"/>
      <c r="OE18" s="123"/>
      <c r="OF18" s="123"/>
      <c r="OG18" s="123"/>
      <c r="OH18" s="123"/>
      <c r="OI18" s="123"/>
      <c r="OJ18" s="123"/>
      <c r="OK18" s="123"/>
      <c r="OL18" s="123"/>
      <c r="OM18" s="123"/>
      <c r="ON18" s="123"/>
      <c r="OO18" s="123"/>
      <c r="OP18" s="123"/>
      <c r="OQ18" s="123"/>
      <c r="OR18" s="123"/>
      <c r="OS18" s="123"/>
      <c r="OT18" s="123"/>
      <c r="OU18" s="123"/>
      <c r="OV18" s="123"/>
      <c r="OW18" s="123"/>
      <c r="OX18" s="123"/>
      <c r="OY18" s="123"/>
      <c r="OZ18" s="123"/>
      <c r="PA18" s="123"/>
      <c r="PB18" s="123"/>
      <c r="PC18" s="123"/>
      <c r="PD18" s="123"/>
      <c r="PE18" s="123"/>
      <c r="PF18" s="123"/>
      <c r="PG18" s="123"/>
      <c r="PH18" s="123"/>
      <c r="PI18" s="123"/>
      <c r="PJ18" s="123"/>
      <c r="PK18" s="123"/>
      <c r="PL18" s="123"/>
      <c r="PM18" s="123"/>
      <c r="PN18" s="123"/>
      <c r="PO18" s="123"/>
      <c r="PP18" s="123"/>
      <c r="PQ18" s="123"/>
      <c r="PR18" s="123"/>
      <c r="PS18" s="123"/>
      <c r="PT18" s="123"/>
      <c r="PU18" s="123"/>
      <c r="PV18" s="123"/>
      <c r="PW18" s="123"/>
      <c r="PX18" s="123"/>
      <c r="PY18" s="123"/>
      <c r="PZ18" s="123"/>
      <c r="QA18" s="123"/>
      <c r="QB18" s="123"/>
      <c r="QC18" s="123"/>
      <c r="QD18" s="123"/>
      <c r="QE18" s="123"/>
      <c r="QF18" s="123"/>
      <c r="QG18" s="123"/>
    </row>
    <row r="19" spans="1:449" s="156" customFormat="1" ht="45" x14ac:dyDescent="0.25">
      <c r="A19" s="159" t="s">
        <v>41</v>
      </c>
      <c r="B19" s="164">
        <f>+(VLOOKUP(A19,'Ejercicio 1'!$M$40:$R$80,2,FALSE))*VLOOKUP(A19,'Ejercicio 1'!$E$40:$I$80,4,FALSE)</f>
        <v>51510</v>
      </c>
      <c r="C19" s="61" t="str">
        <f>+VLOOKUP(A19,'Ejercicio 1'!$E$40:$I$80,5,FALSE)</f>
        <v>u</v>
      </c>
      <c r="D19" s="160">
        <f>+(VLOOKUP(A19,'Ejercicio 1'!$M$40:$R$80,4,FALSE)+VLOOKUP(A19,'Ejercicio 1'!$M$40:$R$80,5,FALSE))*VLOOKUP(A19,'Ejercicio 1'!$E$40:$I$80,4,FALSE)/11</f>
        <v>4682.727272727273</v>
      </c>
      <c r="E19" s="168">
        <v>4</v>
      </c>
      <c r="F19" s="199">
        <f>2500+G19</f>
        <v>2500</v>
      </c>
      <c r="G19" s="200"/>
      <c r="H19" s="199">
        <f t="shared" si="14"/>
        <v>10694.772727272728</v>
      </c>
      <c r="I19" s="200">
        <f t="shared" ref="I19:I21" si="30">+$B19/$E19</f>
        <v>12877.5</v>
      </c>
      <c r="J19" s="199">
        <f t="shared" si="1"/>
        <v>6012.045454545455</v>
      </c>
      <c r="K19" s="200"/>
      <c r="L19" s="199">
        <f t="shared" si="2"/>
        <v>1329.318181818182</v>
      </c>
      <c r="M19" s="200"/>
      <c r="N19" s="199">
        <f t="shared" si="3"/>
        <v>9524.0909090909081</v>
      </c>
      <c r="O19" s="200">
        <f t="shared" ref="O19:O21" si="31">+$B19/$E19</f>
        <v>12877.5</v>
      </c>
      <c r="P19" s="199">
        <f t="shared" si="5"/>
        <v>4841.3636363636351</v>
      </c>
      <c r="Q19" s="200"/>
      <c r="R19" s="199">
        <f t="shared" si="6"/>
        <v>13036.136363636364</v>
      </c>
      <c r="S19" s="200">
        <f t="shared" ref="S19:S21" si="32">+$B19/$E19</f>
        <v>12877.5</v>
      </c>
      <c r="T19" s="199">
        <f t="shared" si="8"/>
        <v>8353.4090909090919</v>
      </c>
      <c r="U19" s="200"/>
      <c r="V19" s="199">
        <f t="shared" si="9"/>
        <v>3670.6818181818189</v>
      </c>
      <c r="W19" s="200"/>
      <c r="X19" s="199">
        <f t="shared" si="10"/>
        <v>11865.454545454548</v>
      </c>
      <c r="Y19" s="200">
        <f t="shared" ref="Y19:Y21" si="33">+$B19/$E19</f>
        <v>12877.5</v>
      </c>
      <c r="Z19" s="199">
        <f t="shared" si="12"/>
        <v>7182.7272727272748</v>
      </c>
      <c r="AA19" s="200"/>
      <c r="AB19" s="199">
        <f t="shared" si="12"/>
        <v>15377.500000000004</v>
      </c>
      <c r="AC19" s="200">
        <f t="shared" ref="AC19:AC21" si="34">+$B19/$E19</f>
        <v>12877.5</v>
      </c>
      <c r="AD19" s="125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  <c r="IV19" s="123"/>
      <c r="IW19" s="123"/>
      <c r="IX19" s="123"/>
      <c r="IY19" s="123"/>
      <c r="IZ19" s="123"/>
      <c r="JA19" s="123"/>
      <c r="JB19" s="123"/>
      <c r="JC19" s="123"/>
      <c r="JD19" s="123"/>
      <c r="JE19" s="123"/>
      <c r="JF19" s="123"/>
      <c r="JG19" s="123"/>
      <c r="JH19" s="123"/>
      <c r="JI19" s="123"/>
      <c r="JJ19" s="123"/>
      <c r="JK19" s="123"/>
      <c r="JL19" s="123"/>
      <c r="JM19" s="123"/>
      <c r="JN19" s="123"/>
      <c r="JO19" s="123"/>
      <c r="JP19" s="123"/>
      <c r="JQ19" s="123"/>
      <c r="JR19" s="123"/>
      <c r="JS19" s="123"/>
      <c r="JT19" s="123"/>
      <c r="JU19" s="123"/>
      <c r="JV19" s="123"/>
      <c r="JW19" s="123"/>
      <c r="JX19" s="123"/>
      <c r="JY19" s="123"/>
      <c r="JZ19" s="123"/>
      <c r="KA19" s="123"/>
      <c r="KB19" s="123"/>
      <c r="KC19" s="123"/>
      <c r="KD19" s="123"/>
      <c r="KE19" s="123"/>
      <c r="KF19" s="123"/>
      <c r="KG19" s="123"/>
      <c r="KH19" s="123"/>
      <c r="KI19" s="123"/>
      <c r="KJ19" s="123"/>
      <c r="KK19" s="123"/>
      <c r="KL19" s="123"/>
      <c r="KM19" s="123"/>
      <c r="KN19" s="123"/>
      <c r="KO19" s="123"/>
      <c r="KP19" s="123"/>
      <c r="KQ19" s="123"/>
      <c r="KR19" s="123"/>
      <c r="KS19" s="123"/>
      <c r="KT19" s="123"/>
      <c r="KU19" s="123"/>
      <c r="KV19" s="123"/>
      <c r="KW19" s="123"/>
      <c r="KX19" s="123"/>
      <c r="KY19" s="123"/>
      <c r="KZ19" s="123"/>
      <c r="LA19" s="123"/>
      <c r="LB19" s="123"/>
      <c r="LC19" s="123"/>
      <c r="LD19" s="123"/>
      <c r="LE19" s="123"/>
      <c r="LF19" s="123"/>
      <c r="LG19" s="123"/>
      <c r="LH19" s="123"/>
      <c r="LI19" s="123"/>
      <c r="LJ19" s="123"/>
      <c r="LK19" s="123"/>
      <c r="LL19" s="123"/>
      <c r="LM19" s="123"/>
      <c r="LN19" s="123"/>
      <c r="LO19" s="123"/>
      <c r="LP19" s="123"/>
      <c r="LQ19" s="123"/>
      <c r="LR19" s="123"/>
      <c r="LS19" s="123"/>
      <c r="LT19" s="123"/>
      <c r="LU19" s="123"/>
      <c r="LV19" s="123"/>
      <c r="LW19" s="123"/>
      <c r="LX19" s="123"/>
      <c r="LY19" s="123"/>
      <c r="LZ19" s="123"/>
      <c r="MA19" s="123"/>
      <c r="MB19" s="123"/>
      <c r="MC19" s="123"/>
      <c r="MD19" s="123"/>
      <c r="ME19" s="123"/>
      <c r="MF19" s="123"/>
      <c r="MG19" s="123"/>
      <c r="MH19" s="123"/>
      <c r="MI19" s="123"/>
      <c r="MJ19" s="123"/>
      <c r="MK19" s="123"/>
      <c r="ML19" s="123"/>
      <c r="MM19" s="123"/>
      <c r="MN19" s="123"/>
      <c r="MO19" s="123"/>
      <c r="MP19" s="123"/>
      <c r="MQ19" s="123"/>
      <c r="MR19" s="123"/>
      <c r="MS19" s="123"/>
      <c r="MT19" s="123"/>
      <c r="MU19" s="123"/>
      <c r="MV19" s="123"/>
      <c r="MW19" s="123"/>
      <c r="MX19" s="123"/>
      <c r="MY19" s="123"/>
      <c r="MZ19" s="123"/>
      <c r="NA19" s="123"/>
      <c r="NB19" s="123"/>
      <c r="NC19" s="123"/>
      <c r="ND19" s="123"/>
      <c r="NE19" s="123"/>
      <c r="NF19" s="123"/>
      <c r="NG19" s="123"/>
      <c r="NH19" s="123"/>
      <c r="NI19" s="123"/>
      <c r="NJ19" s="123"/>
      <c r="NK19" s="123"/>
      <c r="NL19" s="123"/>
      <c r="NM19" s="123"/>
      <c r="NN19" s="123"/>
      <c r="NO19" s="123"/>
      <c r="NP19" s="123"/>
      <c r="NQ19" s="123"/>
      <c r="NR19" s="123"/>
      <c r="NS19" s="123"/>
      <c r="NT19" s="123"/>
      <c r="NU19" s="123"/>
      <c r="NV19" s="123"/>
      <c r="NW19" s="123"/>
      <c r="NX19" s="123"/>
      <c r="NY19" s="123"/>
      <c r="NZ19" s="123"/>
      <c r="OA19" s="123"/>
      <c r="OB19" s="123"/>
      <c r="OC19" s="123"/>
      <c r="OD19" s="123"/>
      <c r="OE19" s="123"/>
      <c r="OF19" s="123"/>
      <c r="OG19" s="123"/>
      <c r="OH19" s="123"/>
      <c r="OI19" s="123"/>
      <c r="OJ19" s="123"/>
      <c r="OK19" s="123"/>
      <c r="OL19" s="123"/>
      <c r="OM19" s="123"/>
      <c r="ON19" s="123"/>
      <c r="OO19" s="123"/>
      <c r="OP19" s="123"/>
      <c r="OQ19" s="123"/>
      <c r="OR19" s="123"/>
      <c r="OS19" s="123"/>
      <c r="OT19" s="123"/>
      <c r="OU19" s="123"/>
      <c r="OV19" s="123"/>
      <c r="OW19" s="123"/>
      <c r="OX19" s="123"/>
      <c r="OY19" s="123"/>
      <c r="OZ19" s="123"/>
      <c r="PA19" s="123"/>
      <c r="PB19" s="123"/>
      <c r="PC19" s="123"/>
      <c r="PD19" s="123"/>
      <c r="PE19" s="123"/>
      <c r="PF19" s="123"/>
      <c r="PG19" s="123"/>
      <c r="PH19" s="123"/>
      <c r="PI19" s="123"/>
      <c r="PJ19" s="123"/>
      <c r="PK19" s="123"/>
      <c r="PL19" s="123"/>
      <c r="PM19" s="123"/>
      <c r="PN19" s="123"/>
      <c r="PO19" s="123"/>
      <c r="PP19" s="123"/>
      <c r="PQ19" s="123"/>
      <c r="PR19" s="123"/>
      <c r="PS19" s="123"/>
      <c r="PT19" s="123"/>
      <c r="PU19" s="123"/>
      <c r="PV19" s="123"/>
      <c r="PW19" s="123"/>
      <c r="PX19" s="123"/>
      <c r="PY19" s="123"/>
      <c r="PZ19" s="123"/>
      <c r="QA19" s="123"/>
      <c r="QB19" s="123"/>
      <c r="QC19" s="123"/>
      <c r="QD19" s="123"/>
      <c r="QE19" s="123"/>
      <c r="QF19" s="123"/>
      <c r="QG19" s="123"/>
    </row>
    <row r="20" spans="1:449" s="156" customFormat="1" ht="45" x14ac:dyDescent="0.25">
      <c r="A20" s="159" t="s">
        <v>63</v>
      </c>
      <c r="B20" s="164">
        <f>+(VLOOKUP(A20,'Ejercicio 1'!$M$40:$R$80,2,FALSE))*VLOOKUP(A20,'Ejercicio 1'!$E$40:$I$80,4,FALSE)</f>
        <v>51510</v>
      </c>
      <c r="C20" s="61" t="str">
        <f>+VLOOKUP(A20,'Ejercicio 1'!$E$40:$I$80,5,FALSE)</f>
        <v>u</v>
      </c>
      <c r="D20" s="160">
        <f>+(VLOOKUP(A20,'Ejercicio 1'!$M$40:$R$80,4,FALSE)+VLOOKUP(A20,'Ejercicio 1'!$M$40:$R$80,5,FALSE))*VLOOKUP(A20,'Ejercicio 1'!$E$40:$I$80,4,FALSE)/11</f>
        <v>4682.727272727273</v>
      </c>
      <c r="E20" s="168">
        <v>4</v>
      </c>
      <c r="F20" s="199">
        <f>2500+G20</f>
        <v>2500</v>
      </c>
      <c r="G20" s="200"/>
      <c r="H20" s="199">
        <f t="shared" si="14"/>
        <v>10694.772727272728</v>
      </c>
      <c r="I20" s="200">
        <f t="shared" si="30"/>
        <v>12877.5</v>
      </c>
      <c r="J20" s="199">
        <f t="shared" si="1"/>
        <v>6012.045454545455</v>
      </c>
      <c r="K20" s="200"/>
      <c r="L20" s="199">
        <f t="shared" si="2"/>
        <v>1329.318181818182</v>
      </c>
      <c r="M20" s="200"/>
      <c r="N20" s="199">
        <f t="shared" si="3"/>
        <v>9524.0909090909081</v>
      </c>
      <c r="O20" s="200">
        <f t="shared" si="31"/>
        <v>12877.5</v>
      </c>
      <c r="P20" s="199">
        <f t="shared" si="5"/>
        <v>4841.3636363636351</v>
      </c>
      <c r="Q20" s="200"/>
      <c r="R20" s="199">
        <f t="shared" si="6"/>
        <v>13036.136363636364</v>
      </c>
      <c r="S20" s="200">
        <f t="shared" si="32"/>
        <v>12877.5</v>
      </c>
      <c r="T20" s="199">
        <f t="shared" si="8"/>
        <v>8353.4090909090919</v>
      </c>
      <c r="U20" s="200"/>
      <c r="V20" s="199">
        <f t="shared" si="9"/>
        <v>3670.6818181818189</v>
      </c>
      <c r="W20" s="200"/>
      <c r="X20" s="199">
        <f t="shared" si="10"/>
        <v>11865.454545454548</v>
      </c>
      <c r="Y20" s="200">
        <f t="shared" si="33"/>
        <v>12877.5</v>
      </c>
      <c r="Z20" s="199">
        <f t="shared" si="12"/>
        <v>7182.7272727272748</v>
      </c>
      <c r="AA20" s="200"/>
      <c r="AB20" s="199">
        <f t="shared" si="12"/>
        <v>15377.500000000004</v>
      </c>
      <c r="AC20" s="200">
        <f t="shared" si="34"/>
        <v>12877.5</v>
      </c>
      <c r="AD20" s="125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  <c r="IV20" s="123"/>
      <c r="IW20" s="123"/>
      <c r="IX20" s="123"/>
      <c r="IY20" s="123"/>
      <c r="IZ20" s="123"/>
      <c r="JA20" s="123"/>
      <c r="JB20" s="123"/>
      <c r="JC20" s="123"/>
      <c r="JD20" s="123"/>
      <c r="JE20" s="123"/>
      <c r="JF20" s="123"/>
      <c r="JG20" s="123"/>
      <c r="JH20" s="123"/>
      <c r="JI20" s="123"/>
      <c r="JJ20" s="123"/>
      <c r="JK20" s="123"/>
      <c r="JL20" s="123"/>
      <c r="JM20" s="123"/>
      <c r="JN20" s="123"/>
      <c r="JO20" s="123"/>
      <c r="JP20" s="123"/>
      <c r="JQ20" s="123"/>
      <c r="JR20" s="123"/>
      <c r="JS20" s="123"/>
      <c r="JT20" s="123"/>
      <c r="JU20" s="123"/>
      <c r="JV20" s="123"/>
      <c r="JW20" s="123"/>
      <c r="JX20" s="123"/>
      <c r="JY20" s="123"/>
      <c r="JZ20" s="123"/>
      <c r="KA20" s="123"/>
      <c r="KB20" s="123"/>
      <c r="KC20" s="123"/>
      <c r="KD20" s="123"/>
      <c r="KE20" s="123"/>
      <c r="KF20" s="123"/>
      <c r="KG20" s="123"/>
      <c r="KH20" s="123"/>
      <c r="KI20" s="123"/>
      <c r="KJ20" s="123"/>
      <c r="KK20" s="123"/>
      <c r="KL20" s="123"/>
      <c r="KM20" s="123"/>
      <c r="KN20" s="123"/>
      <c r="KO20" s="123"/>
      <c r="KP20" s="123"/>
      <c r="KQ20" s="123"/>
      <c r="KR20" s="123"/>
      <c r="KS20" s="123"/>
      <c r="KT20" s="123"/>
      <c r="KU20" s="123"/>
      <c r="KV20" s="123"/>
      <c r="KW20" s="123"/>
      <c r="KX20" s="123"/>
      <c r="KY20" s="123"/>
      <c r="KZ20" s="123"/>
      <c r="LA20" s="123"/>
      <c r="LB20" s="123"/>
      <c r="LC20" s="123"/>
      <c r="LD20" s="123"/>
      <c r="LE20" s="123"/>
      <c r="LF20" s="123"/>
      <c r="LG20" s="123"/>
      <c r="LH20" s="123"/>
      <c r="LI20" s="123"/>
      <c r="LJ20" s="123"/>
      <c r="LK20" s="123"/>
      <c r="LL20" s="123"/>
      <c r="LM20" s="123"/>
      <c r="LN20" s="123"/>
      <c r="LO20" s="123"/>
      <c r="LP20" s="123"/>
      <c r="LQ20" s="123"/>
      <c r="LR20" s="123"/>
      <c r="LS20" s="123"/>
      <c r="LT20" s="123"/>
      <c r="LU20" s="123"/>
      <c r="LV20" s="123"/>
      <c r="LW20" s="123"/>
      <c r="LX20" s="123"/>
      <c r="LY20" s="123"/>
      <c r="LZ20" s="123"/>
      <c r="MA20" s="123"/>
      <c r="MB20" s="123"/>
      <c r="MC20" s="123"/>
      <c r="MD20" s="123"/>
      <c r="ME20" s="123"/>
      <c r="MF20" s="123"/>
      <c r="MG20" s="123"/>
      <c r="MH20" s="123"/>
      <c r="MI20" s="123"/>
      <c r="MJ20" s="123"/>
      <c r="MK20" s="123"/>
      <c r="ML20" s="123"/>
      <c r="MM20" s="123"/>
      <c r="MN20" s="123"/>
      <c r="MO20" s="123"/>
      <c r="MP20" s="123"/>
      <c r="MQ20" s="123"/>
      <c r="MR20" s="123"/>
      <c r="MS20" s="123"/>
      <c r="MT20" s="123"/>
      <c r="MU20" s="123"/>
      <c r="MV20" s="123"/>
      <c r="MW20" s="123"/>
      <c r="MX20" s="123"/>
      <c r="MY20" s="123"/>
      <c r="MZ20" s="123"/>
      <c r="NA20" s="123"/>
      <c r="NB20" s="123"/>
      <c r="NC20" s="123"/>
      <c r="ND20" s="123"/>
      <c r="NE20" s="123"/>
      <c r="NF20" s="123"/>
      <c r="NG20" s="123"/>
      <c r="NH20" s="123"/>
      <c r="NI20" s="123"/>
      <c r="NJ20" s="123"/>
      <c r="NK20" s="123"/>
      <c r="NL20" s="123"/>
      <c r="NM20" s="123"/>
      <c r="NN20" s="123"/>
      <c r="NO20" s="123"/>
      <c r="NP20" s="123"/>
      <c r="NQ20" s="123"/>
      <c r="NR20" s="123"/>
      <c r="NS20" s="123"/>
      <c r="NT20" s="123"/>
      <c r="NU20" s="123"/>
      <c r="NV20" s="123"/>
      <c r="NW20" s="123"/>
      <c r="NX20" s="123"/>
      <c r="NY20" s="123"/>
      <c r="NZ20" s="123"/>
      <c r="OA20" s="123"/>
      <c r="OB20" s="123"/>
      <c r="OC20" s="123"/>
      <c r="OD20" s="123"/>
      <c r="OE20" s="123"/>
      <c r="OF20" s="123"/>
      <c r="OG20" s="123"/>
      <c r="OH20" s="123"/>
      <c r="OI20" s="123"/>
      <c r="OJ20" s="123"/>
      <c r="OK20" s="123"/>
      <c r="OL20" s="123"/>
      <c r="OM20" s="123"/>
      <c r="ON20" s="123"/>
      <c r="OO20" s="123"/>
      <c r="OP20" s="123"/>
      <c r="OQ20" s="123"/>
      <c r="OR20" s="123"/>
      <c r="OS20" s="123"/>
      <c r="OT20" s="123"/>
      <c r="OU20" s="123"/>
      <c r="OV20" s="123"/>
      <c r="OW20" s="123"/>
      <c r="OX20" s="123"/>
      <c r="OY20" s="123"/>
      <c r="OZ20" s="123"/>
      <c r="PA20" s="123"/>
      <c r="PB20" s="123"/>
      <c r="PC20" s="123"/>
      <c r="PD20" s="123"/>
      <c r="PE20" s="123"/>
      <c r="PF20" s="123"/>
      <c r="PG20" s="123"/>
      <c r="PH20" s="123"/>
      <c r="PI20" s="123"/>
      <c r="PJ20" s="123"/>
      <c r="PK20" s="123"/>
      <c r="PL20" s="123"/>
      <c r="PM20" s="123"/>
      <c r="PN20" s="123"/>
      <c r="PO20" s="123"/>
      <c r="PP20" s="123"/>
      <c r="PQ20" s="123"/>
      <c r="PR20" s="123"/>
      <c r="PS20" s="123"/>
      <c r="PT20" s="123"/>
      <c r="PU20" s="123"/>
      <c r="PV20" s="123"/>
      <c r="PW20" s="123"/>
      <c r="PX20" s="123"/>
      <c r="PY20" s="123"/>
      <c r="PZ20" s="123"/>
      <c r="QA20" s="123"/>
      <c r="QB20" s="123"/>
      <c r="QC20" s="123"/>
      <c r="QD20" s="123"/>
      <c r="QE20" s="123"/>
      <c r="QF20" s="123"/>
      <c r="QG20" s="123"/>
    </row>
    <row r="21" spans="1:449" s="156" customFormat="1" ht="45" x14ac:dyDescent="0.25">
      <c r="A21" s="159" t="s">
        <v>51</v>
      </c>
      <c r="B21" s="164">
        <f>+(VLOOKUP(A21,'Ejercicio 1'!$M$40:$R$80,2,FALSE))*VLOOKUP(A21,'Ejercicio 1'!$E$40:$I$80,4,FALSE)</f>
        <v>51510</v>
      </c>
      <c r="C21" s="61" t="str">
        <f>+VLOOKUP(A21,'Ejercicio 1'!$E$40:$I$80,5,FALSE)</f>
        <v>u</v>
      </c>
      <c r="D21" s="160">
        <f>+(VLOOKUP(A21,'Ejercicio 1'!$M$40:$R$80,4,FALSE)+VLOOKUP(A21,'Ejercicio 1'!$M$40:$R$80,5,FALSE))*VLOOKUP(A21,'Ejercicio 1'!$E$40:$I$80,4,FALSE)/11</f>
        <v>4682.727272727273</v>
      </c>
      <c r="E21" s="168">
        <v>4</v>
      </c>
      <c r="F21" s="199">
        <f>2500+G21</f>
        <v>2500</v>
      </c>
      <c r="G21" s="200"/>
      <c r="H21" s="199">
        <f t="shared" si="14"/>
        <v>10694.772727272728</v>
      </c>
      <c r="I21" s="200">
        <f t="shared" si="30"/>
        <v>12877.5</v>
      </c>
      <c r="J21" s="199">
        <f t="shared" si="1"/>
        <v>6012.045454545455</v>
      </c>
      <c r="K21" s="200"/>
      <c r="L21" s="199">
        <f t="shared" si="2"/>
        <v>1329.318181818182</v>
      </c>
      <c r="M21" s="200"/>
      <c r="N21" s="199">
        <f t="shared" si="3"/>
        <v>9524.0909090909081</v>
      </c>
      <c r="O21" s="200">
        <f t="shared" si="31"/>
        <v>12877.5</v>
      </c>
      <c r="P21" s="199">
        <f t="shared" si="5"/>
        <v>4841.3636363636351</v>
      </c>
      <c r="Q21" s="200"/>
      <c r="R21" s="199">
        <f t="shared" si="6"/>
        <v>13036.136363636364</v>
      </c>
      <c r="S21" s="200">
        <f t="shared" si="32"/>
        <v>12877.5</v>
      </c>
      <c r="T21" s="199">
        <f t="shared" si="8"/>
        <v>8353.4090909090919</v>
      </c>
      <c r="U21" s="200"/>
      <c r="V21" s="199">
        <f t="shared" si="9"/>
        <v>3670.6818181818189</v>
      </c>
      <c r="W21" s="200"/>
      <c r="X21" s="199">
        <f t="shared" si="10"/>
        <v>11865.454545454548</v>
      </c>
      <c r="Y21" s="200">
        <f t="shared" si="33"/>
        <v>12877.5</v>
      </c>
      <c r="Z21" s="199">
        <f t="shared" si="12"/>
        <v>7182.7272727272748</v>
      </c>
      <c r="AA21" s="200"/>
      <c r="AB21" s="199">
        <f t="shared" si="12"/>
        <v>15377.500000000004</v>
      </c>
      <c r="AC21" s="200">
        <f t="shared" si="34"/>
        <v>12877.5</v>
      </c>
      <c r="AD21" s="125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  <c r="IV21" s="123"/>
      <c r="IW21" s="123"/>
      <c r="IX21" s="123"/>
      <c r="IY21" s="123"/>
      <c r="IZ21" s="123"/>
      <c r="JA21" s="123"/>
      <c r="JB21" s="123"/>
      <c r="JC21" s="123"/>
      <c r="JD21" s="123"/>
      <c r="JE21" s="123"/>
      <c r="JF21" s="123"/>
      <c r="JG21" s="123"/>
      <c r="JH21" s="123"/>
      <c r="JI21" s="123"/>
      <c r="JJ21" s="123"/>
      <c r="JK21" s="123"/>
      <c r="JL21" s="123"/>
      <c r="JM21" s="123"/>
      <c r="JN21" s="123"/>
      <c r="JO21" s="123"/>
      <c r="JP21" s="123"/>
      <c r="JQ21" s="123"/>
      <c r="JR21" s="123"/>
      <c r="JS21" s="123"/>
      <c r="JT21" s="123"/>
      <c r="JU21" s="123"/>
      <c r="JV21" s="123"/>
      <c r="JW21" s="123"/>
      <c r="JX21" s="123"/>
      <c r="JY21" s="123"/>
      <c r="JZ21" s="123"/>
      <c r="KA21" s="123"/>
      <c r="KB21" s="123"/>
      <c r="KC21" s="123"/>
      <c r="KD21" s="123"/>
      <c r="KE21" s="123"/>
      <c r="KF21" s="123"/>
      <c r="KG21" s="123"/>
      <c r="KH21" s="123"/>
      <c r="KI21" s="123"/>
      <c r="KJ21" s="123"/>
      <c r="KK21" s="123"/>
      <c r="KL21" s="123"/>
      <c r="KM21" s="123"/>
      <c r="KN21" s="123"/>
      <c r="KO21" s="123"/>
      <c r="KP21" s="123"/>
      <c r="KQ21" s="123"/>
      <c r="KR21" s="123"/>
      <c r="KS21" s="123"/>
      <c r="KT21" s="123"/>
      <c r="KU21" s="123"/>
      <c r="KV21" s="123"/>
      <c r="KW21" s="123"/>
      <c r="KX21" s="123"/>
      <c r="KY21" s="123"/>
      <c r="KZ21" s="123"/>
      <c r="LA21" s="123"/>
      <c r="LB21" s="123"/>
      <c r="LC21" s="123"/>
      <c r="LD21" s="123"/>
      <c r="LE21" s="123"/>
      <c r="LF21" s="123"/>
      <c r="LG21" s="123"/>
      <c r="LH21" s="123"/>
      <c r="LI21" s="123"/>
      <c r="LJ21" s="123"/>
      <c r="LK21" s="123"/>
      <c r="LL21" s="123"/>
      <c r="LM21" s="123"/>
      <c r="LN21" s="123"/>
      <c r="LO21" s="123"/>
      <c r="LP21" s="123"/>
      <c r="LQ21" s="123"/>
      <c r="LR21" s="123"/>
      <c r="LS21" s="123"/>
      <c r="LT21" s="123"/>
      <c r="LU21" s="123"/>
      <c r="LV21" s="123"/>
      <c r="LW21" s="123"/>
      <c r="LX21" s="123"/>
      <c r="LY21" s="123"/>
      <c r="LZ21" s="123"/>
      <c r="MA21" s="123"/>
      <c r="MB21" s="123"/>
      <c r="MC21" s="123"/>
      <c r="MD21" s="123"/>
      <c r="ME21" s="123"/>
      <c r="MF21" s="123"/>
      <c r="MG21" s="123"/>
      <c r="MH21" s="123"/>
      <c r="MI21" s="123"/>
      <c r="MJ21" s="123"/>
      <c r="MK21" s="123"/>
      <c r="ML21" s="123"/>
      <c r="MM21" s="123"/>
      <c r="MN21" s="123"/>
      <c r="MO21" s="123"/>
      <c r="MP21" s="123"/>
      <c r="MQ21" s="123"/>
      <c r="MR21" s="123"/>
      <c r="MS21" s="123"/>
      <c r="MT21" s="123"/>
      <c r="MU21" s="123"/>
      <c r="MV21" s="123"/>
      <c r="MW21" s="123"/>
      <c r="MX21" s="123"/>
      <c r="MY21" s="123"/>
      <c r="MZ21" s="123"/>
      <c r="NA21" s="123"/>
      <c r="NB21" s="123"/>
      <c r="NC21" s="123"/>
      <c r="ND21" s="123"/>
      <c r="NE21" s="123"/>
      <c r="NF21" s="123"/>
      <c r="NG21" s="123"/>
      <c r="NH21" s="123"/>
      <c r="NI21" s="123"/>
      <c r="NJ21" s="123"/>
      <c r="NK21" s="123"/>
      <c r="NL21" s="123"/>
      <c r="NM21" s="123"/>
      <c r="NN21" s="123"/>
      <c r="NO21" s="123"/>
      <c r="NP21" s="123"/>
      <c r="NQ21" s="123"/>
      <c r="NR21" s="123"/>
      <c r="NS21" s="123"/>
      <c r="NT21" s="123"/>
      <c r="NU21" s="123"/>
      <c r="NV21" s="123"/>
      <c r="NW21" s="123"/>
      <c r="NX21" s="123"/>
      <c r="NY21" s="123"/>
      <c r="NZ21" s="123"/>
      <c r="OA21" s="123"/>
      <c r="OB21" s="123"/>
      <c r="OC21" s="123"/>
      <c r="OD21" s="123"/>
      <c r="OE21" s="123"/>
      <c r="OF21" s="123"/>
      <c r="OG21" s="123"/>
      <c r="OH21" s="123"/>
      <c r="OI21" s="123"/>
      <c r="OJ21" s="123"/>
      <c r="OK21" s="123"/>
      <c r="OL21" s="123"/>
      <c r="OM21" s="123"/>
      <c r="ON21" s="123"/>
      <c r="OO21" s="123"/>
      <c r="OP21" s="123"/>
      <c r="OQ21" s="123"/>
      <c r="OR21" s="123"/>
      <c r="OS21" s="123"/>
      <c r="OT21" s="123"/>
      <c r="OU21" s="123"/>
      <c r="OV21" s="123"/>
      <c r="OW21" s="123"/>
      <c r="OX21" s="123"/>
      <c r="OY21" s="123"/>
      <c r="OZ21" s="123"/>
      <c r="PA21" s="123"/>
      <c r="PB21" s="123"/>
      <c r="PC21" s="123"/>
      <c r="PD21" s="123"/>
      <c r="PE21" s="123"/>
      <c r="PF21" s="123"/>
      <c r="PG21" s="123"/>
      <c r="PH21" s="123"/>
      <c r="PI21" s="123"/>
      <c r="PJ21" s="123"/>
      <c r="PK21" s="123"/>
      <c r="PL21" s="123"/>
      <c r="PM21" s="123"/>
      <c r="PN21" s="123"/>
      <c r="PO21" s="123"/>
      <c r="PP21" s="123"/>
      <c r="PQ21" s="123"/>
      <c r="PR21" s="123"/>
      <c r="PS21" s="123"/>
      <c r="PT21" s="123"/>
      <c r="PU21" s="123"/>
      <c r="PV21" s="123"/>
      <c r="PW21" s="123"/>
      <c r="PX21" s="123"/>
      <c r="PY21" s="123"/>
      <c r="PZ21" s="123"/>
      <c r="QA21" s="123"/>
      <c r="QB21" s="123"/>
      <c r="QC21" s="123"/>
      <c r="QD21" s="123"/>
      <c r="QE21" s="123"/>
      <c r="QF21" s="123"/>
      <c r="QG21" s="123"/>
    </row>
    <row r="22" spans="1:449" s="156" customFormat="1" ht="30" x14ac:dyDescent="0.25">
      <c r="A22" s="159" t="s">
        <v>61</v>
      </c>
      <c r="B22" s="164">
        <f>+(VLOOKUP(A22,'Ejercicio 1'!$M$40:$R$80,2,FALSE))*VLOOKUP(A22,'Ejercicio 1'!$E$40:$I$80,4,FALSE)</f>
        <v>309060</v>
      </c>
      <c r="C22" s="61" t="str">
        <f>+VLOOKUP(A22,'Ejercicio 1'!$E$40:$I$80,5,FALSE)</f>
        <v>u</v>
      </c>
      <c r="D22" s="160">
        <f>+(VLOOKUP(A22,'Ejercicio 1'!$M$40:$R$80,4,FALSE)+VLOOKUP(A22,'Ejercicio 1'!$M$40:$R$80,5,FALSE))*VLOOKUP(A22,'Ejercicio 1'!$E$40:$I$80,4,FALSE)/11</f>
        <v>27823.636363636364</v>
      </c>
      <c r="E22" s="168">
        <v>2</v>
      </c>
      <c r="F22" s="199">
        <f>70000+G22</f>
        <v>70000</v>
      </c>
      <c r="G22" s="200"/>
      <c r="H22" s="199">
        <f t="shared" si="14"/>
        <v>42176.363636363632</v>
      </c>
      <c r="I22" s="200"/>
      <c r="J22" s="199">
        <f t="shared" si="1"/>
        <v>14352.727272727268</v>
      </c>
      <c r="K22" s="200"/>
      <c r="L22" s="199">
        <f t="shared" si="2"/>
        <v>141059.09090909091</v>
      </c>
      <c r="M22" s="200">
        <f t="shared" ref="M22" si="35">+$B22/$E22</f>
        <v>154530</v>
      </c>
      <c r="N22" s="199">
        <f t="shared" si="3"/>
        <v>113235.45454545454</v>
      </c>
      <c r="O22" s="200"/>
      <c r="P22" s="199">
        <f t="shared" si="5"/>
        <v>85411.818181818177</v>
      </c>
      <c r="Q22" s="200"/>
      <c r="R22" s="199">
        <f t="shared" si="6"/>
        <v>57588.181818181809</v>
      </c>
      <c r="S22" s="200"/>
      <c r="T22" s="199">
        <f t="shared" si="8"/>
        <v>29764.545454545445</v>
      </c>
      <c r="U22" s="200"/>
      <c r="V22" s="199">
        <f t="shared" si="9"/>
        <v>156470.90909090909</v>
      </c>
      <c r="W22" s="200">
        <f t="shared" si="29"/>
        <v>154530</v>
      </c>
      <c r="X22" s="199">
        <f t="shared" si="10"/>
        <v>128647.27272727272</v>
      </c>
      <c r="Y22" s="200"/>
      <c r="Z22" s="199">
        <f t="shared" si="12"/>
        <v>100823.63636363635</v>
      </c>
      <c r="AA22" s="200"/>
      <c r="AB22" s="199">
        <f t="shared" si="12"/>
        <v>72999.999999999985</v>
      </c>
      <c r="AC22" s="200"/>
      <c r="AD22" s="125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  <c r="IV22" s="123"/>
      <c r="IW22" s="123"/>
      <c r="IX22" s="123"/>
      <c r="IY22" s="123"/>
      <c r="IZ22" s="123"/>
      <c r="JA22" s="123"/>
      <c r="JB22" s="123"/>
      <c r="JC22" s="123"/>
      <c r="JD22" s="123"/>
      <c r="JE22" s="123"/>
      <c r="JF22" s="123"/>
      <c r="JG22" s="123"/>
      <c r="JH22" s="123"/>
      <c r="JI22" s="123"/>
      <c r="JJ22" s="123"/>
      <c r="JK22" s="123"/>
      <c r="JL22" s="123"/>
      <c r="JM22" s="123"/>
      <c r="JN22" s="123"/>
      <c r="JO22" s="123"/>
      <c r="JP22" s="123"/>
      <c r="JQ22" s="123"/>
      <c r="JR22" s="123"/>
      <c r="JS22" s="123"/>
      <c r="JT22" s="123"/>
      <c r="JU22" s="123"/>
      <c r="JV22" s="123"/>
      <c r="JW22" s="123"/>
      <c r="JX22" s="123"/>
      <c r="JY22" s="123"/>
      <c r="JZ22" s="123"/>
      <c r="KA22" s="123"/>
      <c r="KB22" s="123"/>
      <c r="KC22" s="123"/>
      <c r="KD22" s="123"/>
      <c r="KE22" s="123"/>
      <c r="KF22" s="123"/>
      <c r="KG22" s="123"/>
      <c r="KH22" s="123"/>
      <c r="KI22" s="123"/>
      <c r="KJ22" s="123"/>
      <c r="KK22" s="123"/>
      <c r="KL22" s="123"/>
      <c r="KM22" s="123"/>
      <c r="KN22" s="123"/>
      <c r="KO22" s="123"/>
      <c r="KP22" s="123"/>
      <c r="KQ22" s="123"/>
      <c r="KR22" s="123"/>
      <c r="KS22" s="123"/>
      <c r="KT22" s="123"/>
      <c r="KU22" s="123"/>
      <c r="KV22" s="123"/>
      <c r="KW22" s="123"/>
      <c r="KX22" s="123"/>
      <c r="KY22" s="123"/>
      <c r="KZ22" s="123"/>
      <c r="LA22" s="123"/>
      <c r="LB22" s="123"/>
      <c r="LC22" s="123"/>
      <c r="LD22" s="123"/>
      <c r="LE22" s="123"/>
      <c r="LF22" s="123"/>
      <c r="LG22" s="123"/>
      <c r="LH22" s="123"/>
      <c r="LI22" s="123"/>
      <c r="LJ22" s="123"/>
      <c r="LK22" s="123"/>
      <c r="LL22" s="123"/>
      <c r="LM22" s="123"/>
      <c r="LN22" s="123"/>
      <c r="LO22" s="123"/>
      <c r="LP22" s="123"/>
      <c r="LQ22" s="123"/>
      <c r="LR22" s="123"/>
      <c r="LS22" s="123"/>
      <c r="LT22" s="123"/>
      <c r="LU22" s="123"/>
      <c r="LV22" s="123"/>
      <c r="LW22" s="123"/>
      <c r="LX22" s="123"/>
      <c r="LY22" s="123"/>
      <c r="LZ22" s="123"/>
      <c r="MA22" s="123"/>
      <c r="MB22" s="123"/>
      <c r="MC22" s="123"/>
      <c r="MD22" s="123"/>
      <c r="ME22" s="123"/>
      <c r="MF22" s="123"/>
      <c r="MG22" s="123"/>
      <c r="MH22" s="123"/>
      <c r="MI22" s="123"/>
      <c r="MJ22" s="123"/>
      <c r="MK22" s="123"/>
      <c r="ML22" s="123"/>
      <c r="MM22" s="123"/>
      <c r="MN22" s="123"/>
      <c r="MO22" s="123"/>
      <c r="MP22" s="123"/>
      <c r="MQ22" s="123"/>
      <c r="MR22" s="123"/>
      <c r="MS22" s="123"/>
      <c r="MT22" s="123"/>
      <c r="MU22" s="123"/>
      <c r="MV22" s="123"/>
      <c r="MW22" s="123"/>
      <c r="MX22" s="123"/>
      <c r="MY22" s="123"/>
      <c r="MZ22" s="123"/>
      <c r="NA22" s="123"/>
      <c r="NB22" s="123"/>
      <c r="NC22" s="123"/>
      <c r="ND22" s="123"/>
      <c r="NE22" s="123"/>
      <c r="NF22" s="123"/>
      <c r="NG22" s="123"/>
      <c r="NH22" s="123"/>
      <c r="NI22" s="123"/>
      <c r="NJ22" s="123"/>
      <c r="NK22" s="123"/>
      <c r="NL22" s="123"/>
      <c r="NM22" s="123"/>
      <c r="NN22" s="123"/>
      <c r="NO22" s="123"/>
      <c r="NP22" s="123"/>
      <c r="NQ22" s="123"/>
      <c r="NR22" s="123"/>
      <c r="NS22" s="123"/>
      <c r="NT22" s="123"/>
      <c r="NU22" s="123"/>
      <c r="NV22" s="123"/>
      <c r="NW22" s="123"/>
      <c r="NX22" s="123"/>
      <c r="NY22" s="123"/>
      <c r="NZ22" s="123"/>
      <c r="OA22" s="123"/>
      <c r="OB22" s="123"/>
      <c r="OC22" s="123"/>
      <c r="OD22" s="123"/>
      <c r="OE22" s="123"/>
      <c r="OF22" s="123"/>
      <c r="OG22" s="123"/>
      <c r="OH22" s="123"/>
      <c r="OI22" s="123"/>
      <c r="OJ22" s="123"/>
      <c r="OK22" s="123"/>
      <c r="OL22" s="123"/>
      <c r="OM22" s="123"/>
      <c r="ON22" s="123"/>
      <c r="OO22" s="123"/>
      <c r="OP22" s="123"/>
      <c r="OQ22" s="123"/>
      <c r="OR22" s="123"/>
      <c r="OS22" s="123"/>
      <c r="OT22" s="123"/>
      <c r="OU22" s="123"/>
      <c r="OV22" s="123"/>
      <c r="OW22" s="123"/>
      <c r="OX22" s="123"/>
      <c r="OY22" s="123"/>
      <c r="OZ22" s="123"/>
      <c r="PA22" s="123"/>
      <c r="PB22" s="123"/>
      <c r="PC22" s="123"/>
      <c r="PD22" s="123"/>
      <c r="PE22" s="123"/>
      <c r="PF22" s="123"/>
      <c r="PG22" s="123"/>
      <c r="PH22" s="123"/>
      <c r="PI22" s="123"/>
      <c r="PJ22" s="123"/>
      <c r="PK22" s="123"/>
      <c r="PL22" s="123"/>
      <c r="PM22" s="123"/>
      <c r="PN22" s="123"/>
      <c r="PO22" s="123"/>
      <c r="PP22" s="123"/>
      <c r="PQ22" s="123"/>
      <c r="PR22" s="123"/>
      <c r="PS22" s="123"/>
      <c r="PT22" s="123"/>
      <c r="PU22" s="123"/>
      <c r="PV22" s="123"/>
      <c r="PW22" s="123"/>
      <c r="PX22" s="123"/>
      <c r="PY22" s="123"/>
      <c r="PZ22" s="123"/>
      <c r="QA22" s="123"/>
      <c r="QB22" s="123"/>
      <c r="QC22" s="123"/>
      <c r="QD22" s="123"/>
      <c r="QE22" s="123"/>
      <c r="QF22" s="123"/>
      <c r="QG22" s="123"/>
    </row>
    <row r="23" spans="1:449" s="156" customFormat="1" ht="30" x14ac:dyDescent="0.25">
      <c r="A23" s="159" t="s">
        <v>55</v>
      </c>
      <c r="B23" s="164">
        <f>+(VLOOKUP(A23,'Ejercicio 1'!$M$40:$R$80,2,FALSE))*VLOOKUP(A23,'Ejercicio 1'!$E$40:$I$80,4,FALSE)</f>
        <v>50500</v>
      </c>
      <c r="C23" s="61" t="str">
        <f>+VLOOKUP(A23,'Ejercicio 1'!$E$40:$I$80,5,FALSE)</f>
        <v>u</v>
      </c>
      <c r="D23" s="160">
        <f>+(VLOOKUP(A23,'Ejercicio 1'!$M$40:$R$80,4,FALSE)+VLOOKUP(A23,'Ejercicio 1'!$M$40:$R$80,5,FALSE))*VLOOKUP(A23,'Ejercicio 1'!$E$40:$I$80,4,FALSE)/11</f>
        <v>4590.909090909091</v>
      </c>
      <c r="E23" s="168">
        <v>3</v>
      </c>
      <c r="F23" s="199">
        <f>10000+G23</f>
        <v>26833.333333333332</v>
      </c>
      <c r="G23" s="200">
        <f t="shared" ref="G23" si="36">+$B23/$E23</f>
        <v>16833.333333333332</v>
      </c>
      <c r="H23" s="199">
        <f t="shared" si="14"/>
        <v>22242.42424242424</v>
      </c>
      <c r="I23" s="200"/>
      <c r="J23" s="199">
        <f t="shared" si="1"/>
        <v>17651.515151515148</v>
      </c>
      <c r="K23" s="200"/>
      <c r="L23" s="199">
        <f t="shared" si="2"/>
        <v>13060.606060606056</v>
      </c>
      <c r="M23" s="200"/>
      <c r="N23" s="199">
        <f t="shared" si="3"/>
        <v>8469.6969696969645</v>
      </c>
      <c r="O23" s="200"/>
      <c r="P23" s="199">
        <f t="shared" si="5"/>
        <v>20712.121212121205</v>
      </c>
      <c r="Q23" s="200">
        <f t="shared" ref="Q23" si="37">+$B23/$E23</f>
        <v>16833.333333333332</v>
      </c>
      <c r="R23" s="199">
        <f t="shared" si="6"/>
        <v>16121.212121212113</v>
      </c>
      <c r="S23" s="200"/>
      <c r="T23" s="199">
        <f t="shared" si="8"/>
        <v>11530.303030303021</v>
      </c>
      <c r="U23" s="200"/>
      <c r="V23" s="199">
        <f t="shared" si="9"/>
        <v>6939.3939393939299</v>
      </c>
      <c r="W23" s="200"/>
      <c r="X23" s="199">
        <f t="shared" si="10"/>
        <v>2348.4848484848389</v>
      </c>
      <c r="Y23" s="200"/>
      <c r="Z23" s="199">
        <f t="shared" si="12"/>
        <v>14590.909090909077</v>
      </c>
      <c r="AA23" s="200">
        <f t="shared" ref="AA23" si="38">+$B23/$E23</f>
        <v>16833.333333333332</v>
      </c>
      <c r="AB23" s="199">
        <f t="shared" si="12"/>
        <v>9999.9999999999854</v>
      </c>
      <c r="AC23" s="200"/>
      <c r="AD23" s="125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  <c r="IV23" s="123"/>
      <c r="IW23" s="123"/>
      <c r="IX23" s="123"/>
      <c r="IY23" s="123"/>
      <c r="IZ23" s="123"/>
      <c r="JA23" s="123"/>
      <c r="JB23" s="123"/>
      <c r="JC23" s="123"/>
      <c r="JD23" s="123"/>
      <c r="JE23" s="123"/>
      <c r="JF23" s="123"/>
      <c r="JG23" s="123"/>
      <c r="JH23" s="123"/>
      <c r="JI23" s="123"/>
      <c r="JJ23" s="123"/>
      <c r="JK23" s="123"/>
      <c r="JL23" s="123"/>
      <c r="JM23" s="123"/>
      <c r="JN23" s="123"/>
      <c r="JO23" s="123"/>
      <c r="JP23" s="123"/>
      <c r="JQ23" s="123"/>
      <c r="JR23" s="123"/>
      <c r="JS23" s="123"/>
      <c r="JT23" s="123"/>
      <c r="JU23" s="123"/>
      <c r="JV23" s="123"/>
      <c r="JW23" s="123"/>
      <c r="JX23" s="123"/>
      <c r="JY23" s="123"/>
      <c r="JZ23" s="123"/>
      <c r="KA23" s="123"/>
      <c r="KB23" s="123"/>
      <c r="KC23" s="123"/>
      <c r="KD23" s="123"/>
      <c r="KE23" s="123"/>
      <c r="KF23" s="123"/>
      <c r="KG23" s="123"/>
      <c r="KH23" s="123"/>
      <c r="KI23" s="123"/>
      <c r="KJ23" s="123"/>
      <c r="KK23" s="123"/>
      <c r="KL23" s="123"/>
      <c r="KM23" s="123"/>
      <c r="KN23" s="123"/>
      <c r="KO23" s="123"/>
      <c r="KP23" s="123"/>
      <c r="KQ23" s="123"/>
      <c r="KR23" s="123"/>
      <c r="KS23" s="123"/>
      <c r="KT23" s="123"/>
      <c r="KU23" s="123"/>
      <c r="KV23" s="123"/>
      <c r="KW23" s="123"/>
      <c r="KX23" s="123"/>
      <c r="KY23" s="123"/>
      <c r="KZ23" s="123"/>
      <c r="LA23" s="123"/>
      <c r="LB23" s="123"/>
      <c r="LC23" s="123"/>
      <c r="LD23" s="123"/>
      <c r="LE23" s="123"/>
      <c r="LF23" s="123"/>
      <c r="LG23" s="123"/>
      <c r="LH23" s="123"/>
      <c r="LI23" s="123"/>
      <c r="LJ23" s="123"/>
      <c r="LK23" s="123"/>
      <c r="LL23" s="123"/>
      <c r="LM23" s="123"/>
      <c r="LN23" s="123"/>
      <c r="LO23" s="123"/>
      <c r="LP23" s="123"/>
      <c r="LQ23" s="123"/>
      <c r="LR23" s="123"/>
      <c r="LS23" s="123"/>
      <c r="LT23" s="123"/>
      <c r="LU23" s="123"/>
      <c r="LV23" s="123"/>
      <c r="LW23" s="123"/>
      <c r="LX23" s="123"/>
      <c r="LY23" s="123"/>
      <c r="LZ23" s="123"/>
      <c r="MA23" s="123"/>
      <c r="MB23" s="123"/>
      <c r="MC23" s="123"/>
      <c r="MD23" s="123"/>
      <c r="ME23" s="123"/>
      <c r="MF23" s="123"/>
      <c r="MG23" s="123"/>
      <c r="MH23" s="123"/>
      <c r="MI23" s="123"/>
      <c r="MJ23" s="123"/>
      <c r="MK23" s="123"/>
      <c r="ML23" s="123"/>
      <c r="MM23" s="123"/>
      <c r="MN23" s="123"/>
      <c r="MO23" s="123"/>
      <c r="MP23" s="123"/>
      <c r="MQ23" s="123"/>
      <c r="MR23" s="123"/>
      <c r="MS23" s="123"/>
      <c r="MT23" s="123"/>
      <c r="MU23" s="123"/>
      <c r="MV23" s="123"/>
      <c r="MW23" s="123"/>
      <c r="MX23" s="123"/>
      <c r="MY23" s="123"/>
      <c r="MZ23" s="123"/>
      <c r="NA23" s="123"/>
      <c r="NB23" s="123"/>
      <c r="NC23" s="123"/>
      <c r="ND23" s="123"/>
      <c r="NE23" s="123"/>
      <c r="NF23" s="123"/>
      <c r="NG23" s="123"/>
      <c r="NH23" s="123"/>
      <c r="NI23" s="123"/>
      <c r="NJ23" s="123"/>
      <c r="NK23" s="123"/>
      <c r="NL23" s="123"/>
      <c r="NM23" s="123"/>
      <c r="NN23" s="123"/>
      <c r="NO23" s="123"/>
      <c r="NP23" s="123"/>
      <c r="NQ23" s="123"/>
      <c r="NR23" s="123"/>
      <c r="NS23" s="123"/>
      <c r="NT23" s="123"/>
      <c r="NU23" s="123"/>
      <c r="NV23" s="123"/>
      <c r="NW23" s="123"/>
      <c r="NX23" s="123"/>
      <c r="NY23" s="123"/>
      <c r="NZ23" s="123"/>
      <c r="OA23" s="123"/>
      <c r="OB23" s="123"/>
      <c r="OC23" s="123"/>
      <c r="OD23" s="123"/>
      <c r="OE23" s="123"/>
      <c r="OF23" s="123"/>
      <c r="OG23" s="123"/>
      <c r="OH23" s="123"/>
      <c r="OI23" s="123"/>
      <c r="OJ23" s="123"/>
      <c r="OK23" s="123"/>
      <c r="OL23" s="123"/>
      <c r="OM23" s="123"/>
      <c r="ON23" s="123"/>
      <c r="OO23" s="123"/>
      <c r="OP23" s="123"/>
      <c r="OQ23" s="123"/>
      <c r="OR23" s="123"/>
      <c r="OS23" s="123"/>
      <c r="OT23" s="123"/>
      <c r="OU23" s="123"/>
      <c r="OV23" s="123"/>
      <c r="OW23" s="123"/>
      <c r="OX23" s="123"/>
      <c r="OY23" s="123"/>
      <c r="OZ23" s="123"/>
      <c r="PA23" s="123"/>
      <c r="PB23" s="123"/>
      <c r="PC23" s="123"/>
      <c r="PD23" s="123"/>
      <c r="PE23" s="123"/>
      <c r="PF23" s="123"/>
      <c r="PG23" s="123"/>
      <c r="PH23" s="123"/>
      <c r="PI23" s="123"/>
      <c r="PJ23" s="123"/>
      <c r="PK23" s="123"/>
      <c r="PL23" s="123"/>
      <c r="PM23" s="123"/>
      <c r="PN23" s="123"/>
      <c r="PO23" s="123"/>
      <c r="PP23" s="123"/>
      <c r="PQ23" s="123"/>
      <c r="PR23" s="123"/>
      <c r="PS23" s="123"/>
      <c r="PT23" s="123"/>
      <c r="PU23" s="123"/>
      <c r="PV23" s="123"/>
      <c r="PW23" s="123"/>
      <c r="PX23" s="123"/>
      <c r="PY23" s="123"/>
      <c r="PZ23" s="123"/>
      <c r="QA23" s="123"/>
      <c r="QB23" s="123"/>
      <c r="QC23" s="123"/>
      <c r="QD23" s="123"/>
      <c r="QE23" s="123"/>
      <c r="QF23" s="123"/>
      <c r="QG23" s="123"/>
    </row>
    <row r="24" spans="1:449" s="156" customFormat="1" ht="30" x14ac:dyDescent="0.25">
      <c r="A24" s="159" t="s">
        <v>71</v>
      </c>
      <c r="B24" s="164">
        <f>+(VLOOKUP(A24,'Ejercicio 1'!$M$40:$R$80,2,FALSE))*VLOOKUP(A24,'Ejercicio 1'!$E$40:$I$80,4,FALSE)</f>
        <v>50500</v>
      </c>
      <c r="C24" s="61" t="str">
        <f>+VLOOKUP(A24,'Ejercicio 1'!$E$40:$I$80,5,FALSE)</f>
        <v>u</v>
      </c>
      <c r="D24" s="160">
        <f>+(VLOOKUP(A24,'Ejercicio 1'!$M$40:$R$80,4,FALSE)+VLOOKUP(A24,'Ejercicio 1'!$M$40:$R$80,5,FALSE))*VLOOKUP(A24,'Ejercicio 1'!$E$40:$I$80,4,FALSE)/11</f>
        <v>4590.909090909091</v>
      </c>
      <c r="E24" s="168">
        <v>3</v>
      </c>
      <c r="F24" s="199">
        <f>10000+G24</f>
        <v>26833.333333333332</v>
      </c>
      <c r="G24" s="200">
        <f t="shared" ref="G24" si="39">+$B24/$E24</f>
        <v>16833.333333333332</v>
      </c>
      <c r="H24" s="199">
        <f t="shared" si="14"/>
        <v>22242.42424242424</v>
      </c>
      <c r="I24" s="200"/>
      <c r="J24" s="199">
        <f t="shared" si="1"/>
        <v>17651.515151515148</v>
      </c>
      <c r="K24" s="200"/>
      <c r="L24" s="199">
        <f t="shared" si="2"/>
        <v>13060.606060606056</v>
      </c>
      <c r="M24" s="200"/>
      <c r="N24" s="199">
        <f t="shared" si="3"/>
        <v>8469.6969696969645</v>
      </c>
      <c r="O24" s="200"/>
      <c r="P24" s="199">
        <f t="shared" si="5"/>
        <v>20712.121212121205</v>
      </c>
      <c r="Q24" s="200">
        <f t="shared" ref="Q24" si="40">+$B24/$E24</f>
        <v>16833.333333333332</v>
      </c>
      <c r="R24" s="199">
        <f t="shared" si="6"/>
        <v>16121.212121212113</v>
      </c>
      <c r="S24" s="200"/>
      <c r="T24" s="199">
        <f t="shared" si="8"/>
        <v>11530.303030303021</v>
      </c>
      <c r="U24" s="200"/>
      <c r="V24" s="199">
        <f t="shared" si="9"/>
        <v>6939.3939393939299</v>
      </c>
      <c r="W24" s="200"/>
      <c r="X24" s="199">
        <f t="shared" si="10"/>
        <v>2348.4848484848389</v>
      </c>
      <c r="Y24" s="200"/>
      <c r="Z24" s="199">
        <f t="shared" si="12"/>
        <v>14590.909090909077</v>
      </c>
      <c r="AA24" s="200">
        <f t="shared" ref="AA24" si="41">+$B24/$E24</f>
        <v>16833.333333333332</v>
      </c>
      <c r="AB24" s="199">
        <f t="shared" si="12"/>
        <v>9999.9999999999854</v>
      </c>
      <c r="AC24" s="200"/>
      <c r="AD24" s="125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  <c r="IW24" s="123"/>
      <c r="IX24" s="123"/>
      <c r="IY24" s="123"/>
      <c r="IZ24" s="123"/>
      <c r="JA24" s="123"/>
      <c r="JB24" s="123"/>
      <c r="JC24" s="123"/>
      <c r="JD24" s="123"/>
      <c r="JE24" s="123"/>
      <c r="JF24" s="123"/>
      <c r="JG24" s="123"/>
      <c r="JH24" s="123"/>
      <c r="JI24" s="123"/>
      <c r="JJ24" s="123"/>
      <c r="JK24" s="123"/>
      <c r="JL24" s="123"/>
      <c r="JM24" s="123"/>
      <c r="JN24" s="123"/>
      <c r="JO24" s="123"/>
      <c r="JP24" s="123"/>
      <c r="JQ24" s="123"/>
      <c r="JR24" s="123"/>
      <c r="JS24" s="123"/>
      <c r="JT24" s="123"/>
      <c r="JU24" s="123"/>
      <c r="JV24" s="123"/>
      <c r="JW24" s="123"/>
      <c r="JX24" s="123"/>
      <c r="JY24" s="123"/>
      <c r="JZ24" s="123"/>
      <c r="KA24" s="123"/>
      <c r="KB24" s="123"/>
      <c r="KC24" s="123"/>
      <c r="KD24" s="123"/>
      <c r="KE24" s="123"/>
      <c r="KF24" s="123"/>
      <c r="KG24" s="123"/>
      <c r="KH24" s="123"/>
      <c r="KI24" s="123"/>
      <c r="KJ24" s="123"/>
      <c r="KK24" s="123"/>
      <c r="KL24" s="123"/>
      <c r="KM24" s="123"/>
      <c r="KN24" s="123"/>
      <c r="KO24" s="123"/>
      <c r="KP24" s="123"/>
      <c r="KQ24" s="123"/>
      <c r="KR24" s="123"/>
      <c r="KS24" s="123"/>
      <c r="KT24" s="123"/>
      <c r="KU24" s="123"/>
      <c r="KV24" s="123"/>
      <c r="KW24" s="123"/>
      <c r="KX24" s="123"/>
      <c r="KY24" s="123"/>
      <c r="KZ24" s="123"/>
      <c r="LA24" s="123"/>
      <c r="LB24" s="123"/>
      <c r="LC24" s="123"/>
      <c r="LD24" s="123"/>
      <c r="LE24" s="123"/>
      <c r="LF24" s="123"/>
      <c r="LG24" s="123"/>
      <c r="LH24" s="123"/>
      <c r="LI24" s="123"/>
      <c r="LJ24" s="123"/>
      <c r="LK24" s="123"/>
      <c r="LL24" s="123"/>
      <c r="LM24" s="123"/>
      <c r="LN24" s="123"/>
      <c r="LO24" s="123"/>
      <c r="LP24" s="123"/>
      <c r="LQ24" s="123"/>
      <c r="LR24" s="123"/>
      <c r="LS24" s="123"/>
      <c r="LT24" s="123"/>
      <c r="LU24" s="123"/>
      <c r="LV24" s="123"/>
      <c r="LW24" s="123"/>
      <c r="LX24" s="123"/>
      <c r="LY24" s="123"/>
      <c r="LZ24" s="123"/>
      <c r="MA24" s="123"/>
      <c r="MB24" s="123"/>
      <c r="MC24" s="123"/>
      <c r="MD24" s="123"/>
      <c r="ME24" s="123"/>
      <c r="MF24" s="123"/>
      <c r="MG24" s="123"/>
      <c r="MH24" s="123"/>
      <c r="MI24" s="123"/>
      <c r="MJ24" s="123"/>
      <c r="MK24" s="123"/>
      <c r="ML24" s="123"/>
      <c r="MM24" s="123"/>
      <c r="MN24" s="123"/>
      <c r="MO24" s="123"/>
      <c r="MP24" s="123"/>
      <c r="MQ24" s="123"/>
      <c r="MR24" s="123"/>
      <c r="MS24" s="123"/>
      <c r="MT24" s="123"/>
      <c r="MU24" s="123"/>
      <c r="MV24" s="123"/>
      <c r="MW24" s="123"/>
      <c r="MX24" s="123"/>
      <c r="MY24" s="123"/>
      <c r="MZ24" s="123"/>
      <c r="NA24" s="123"/>
      <c r="NB24" s="123"/>
      <c r="NC24" s="123"/>
      <c r="ND24" s="123"/>
      <c r="NE24" s="123"/>
      <c r="NF24" s="123"/>
      <c r="NG24" s="123"/>
      <c r="NH24" s="123"/>
      <c r="NI24" s="123"/>
      <c r="NJ24" s="123"/>
      <c r="NK24" s="123"/>
      <c r="NL24" s="123"/>
      <c r="NM24" s="123"/>
      <c r="NN24" s="123"/>
      <c r="NO24" s="123"/>
      <c r="NP24" s="123"/>
      <c r="NQ24" s="123"/>
      <c r="NR24" s="123"/>
      <c r="NS24" s="123"/>
      <c r="NT24" s="123"/>
      <c r="NU24" s="123"/>
      <c r="NV24" s="123"/>
      <c r="NW24" s="123"/>
      <c r="NX24" s="123"/>
      <c r="NY24" s="123"/>
      <c r="NZ24" s="123"/>
      <c r="OA24" s="123"/>
      <c r="OB24" s="123"/>
      <c r="OC24" s="123"/>
      <c r="OD24" s="123"/>
      <c r="OE24" s="123"/>
      <c r="OF24" s="123"/>
      <c r="OG24" s="123"/>
      <c r="OH24" s="123"/>
      <c r="OI24" s="123"/>
      <c r="OJ24" s="123"/>
      <c r="OK24" s="123"/>
      <c r="OL24" s="123"/>
      <c r="OM24" s="123"/>
      <c r="ON24" s="123"/>
      <c r="OO24" s="123"/>
      <c r="OP24" s="123"/>
      <c r="OQ24" s="123"/>
      <c r="OR24" s="123"/>
      <c r="OS24" s="123"/>
      <c r="OT24" s="123"/>
      <c r="OU24" s="123"/>
      <c r="OV24" s="123"/>
      <c r="OW24" s="123"/>
      <c r="OX24" s="123"/>
      <c r="OY24" s="123"/>
      <c r="OZ24" s="123"/>
      <c r="PA24" s="123"/>
      <c r="PB24" s="123"/>
      <c r="PC24" s="123"/>
      <c r="PD24" s="123"/>
      <c r="PE24" s="123"/>
      <c r="PF24" s="123"/>
      <c r="PG24" s="123"/>
      <c r="PH24" s="123"/>
      <c r="PI24" s="123"/>
      <c r="PJ24" s="123"/>
      <c r="PK24" s="123"/>
      <c r="PL24" s="123"/>
      <c r="PM24" s="123"/>
      <c r="PN24" s="123"/>
      <c r="PO24" s="123"/>
      <c r="PP24" s="123"/>
      <c r="PQ24" s="123"/>
      <c r="PR24" s="123"/>
      <c r="PS24" s="123"/>
      <c r="PT24" s="123"/>
      <c r="PU24" s="123"/>
      <c r="PV24" s="123"/>
      <c r="PW24" s="123"/>
      <c r="PX24" s="123"/>
      <c r="PY24" s="123"/>
      <c r="PZ24" s="123"/>
      <c r="QA24" s="123"/>
      <c r="QB24" s="123"/>
      <c r="QC24" s="123"/>
      <c r="QD24" s="123"/>
      <c r="QE24" s="123"/>
      <c r="QF24" s="123"/>
      <c r="QG24" s="123"/>
    </row>
    <row r="25" spans="1:449" s="156" customFormat="1" x14ac:dyDescent="0.25">
      <c r="A25" s="159" t="s">
        <v>73</v>
      </c>
      <c r="B25" s="164">
        <f>+(VLOOKUP(A25,'Ejercicio 1'!$M$40:$R$80,2,FALSE))*VLOOKUP(A25,'Ejercicio 1'!$E$40:$I$80,4,FALSE)</f>
        <v>353500</v>
      </c>
      <c r="C25" s="61" t="str">
        <f>+VLOOKUP(A25,'Ejercicio 1'!$E$40:$I$80,5,FALSE)</f>
        <v>u</v>
      </c>
      <c r="D25" s="160">
        <f>+(VLOOKUP(A25,'Ejercicio 1'!$M$40:$R$80,4,FALSE)+VLOOKUP(A25,'Ejercicio 1'!$M$40:$R$80,5,FALSE))*VLOOKUP(A25,'Ejercicio 1'!$E$40:$I$80,4,FALSE)/11</f>
        <v>32136.363636363636</v>
      </c>
      <c r="E25" s="168">
        <v>2</v>
      </c>
      <c r="F25" s="199">
        <f>70000+G25</f>
        <v>70000</v>
      </c>
      <c r="G25" s="200"/>
      <c r="H25" s="199">
        <f t="shared" si="14"/>
        <v>37863.636363636368</v>
      </c>
      <c r="I25" s="200"/>
      <c r="J25" s="199">
        <f t="shared" si="1"/>
        <v>5727.2727272727316</v>
      </c>
      <c r="K25" s="200"/>
      <c r="L25" s="199">
        <f t="shared" si="2"/>
        <v>150340.90909090909</v>
      </c>
      <c r="M25" s="200">
        <f t="shared" ref="M25:M27" si="42">+$B25/$E25</f>
        <v>176750</v>
      </c>
      <c r="N25" s="199">
        <f t="shared" si="3"/>
        <v>118204.54545454546</v>
      </c>
      <c r="O25" s="200"/>
      <c r="P25" s="199">
        <f t="shared" si="5"/>
        <v>86068.181818181823</v>
      </c>
      <c r="Q25" s="200"/>
      <c r="R25" s="199">
        <f t="shared" si="6"/>
        <v>53931.818181818191</v>
      </c>
      <c r="S25" s="200"/>
      <c r="T25" s="199">
        <f t="shared" si="8"/>
        <v>21795.454545454555</v>
      </c>
      <c r="U25" s="200"/>
      <c r="V25" s="199">
        <f t="shared" si="9"/>
        <v>166409.09090909091</v>
      </c>
      <c r="W25" s="200">
        <f t="shared" ref="W25:W27" si="43">+$B25/$E25</f>
        <v>176750</v>
      </c>
      <c r="X25" s="199">
        <f t="shared" si="10"/>
        <v>134272.72727272726</v>
      </c>
      <c r="Y25" s="200"/>
      <c r="Z25" s="199">
        <f t="shared" si="12"/>
        <v>102136.36363636363</v>
      </c>
      <c r="AA25" s="200"/>
      <c r="AB25" s="199">
        <f t="shared" si="12"/>
        <v>70000</v>
      </c>
      <c r="AC25" s="200"/>
      <c r="AD25" s="125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  <c r="IW25" s="123"/>
      <c r="IX25" s="123"/>
      <c r="IY25" s="123"/>
      <c r="IZ25" s="123"/>
      <c r="JA25" s="123"/>
      <c r="JB25" s="123"/>
      <c r="JC25" s="123"/>
      <c r="JD25" s="123"/>
      <c r="JE25" s="123"/>
      <c r="JF25" s="123"/>
      <c r="JG25" s="123"/>
      <c r="JH25" s="123"/>
      <c r="JI25" s="123"/>
      <c r="JJ25" s="123"/>
      <c r="JK25" s="123"/>
      <c r="JL25" s="123"/>
      <c r="JM25" s="123"/>
      <c r="JN25" s="123"/>
      <c r="JO25" s="123"/>
      <c r="JP25" s="123"/>
      <c r="JQ25" s="123"/>
      <c r="JR25" s="123"/>
      <c r="JS25" s="123"/>
      <c r="JT25" s="123"/>
      <c r="JU25" s="123"/>
      <c r="JV25" s="123"/>
      <c r="JW25" s="123"/>
      <c r="JX25" s="123"/>
      <c r="JY25" s="123"/>
      <c r="JZ25" s="123"/>
      <c r="KA25" s="123"/>
      <c r="KB25" s="123"/>
      <c r="KC25" s="123"/>
      <c r="KD25" s="123"/>
      <c r="KE25" s="123"/>
      <c r="KF25" s="123"/>
      <c r="KG25" s="123"/>
      <c r="KH25" s="123"/>
      <c r="KI25" s="123"/>
      <c r="KJ25" s="123"/>
      <c r="KK25" s="123"/>
      <c r="KL25" s="123"/>
      <c r="KM25" s="123"/>
      <c r="KN25" s="123"/>
      <c r="KO25" s="123"/>
      <c r="KP25" s="123"/>
      <c r="KQ25" s="123"/>
      <c r="KR25" s="123"/>
      <c r="KS25" s="123"/>
      <c r="KT25" s="123"/>
      <c r="KU25" s="123"/>
      <c r="KV25" s="123"/>
      <c r="KW25" s="123"/>
      <c r="KX25" s="123"/>
      <c r="KY25" s="123"/>
      <c r="KZ25" s="123"/>
      <c r="LA25" s="123"/>
      <c r="LB25" s="123"/>
      <c r="LC25" s="123"/>
      <c r="LD25" s="123"/>
      <c r="LE25" s="123"/>
      <c r="LF25" s="123"/>
      <c r="LG25" s="123"/>
      <c r="LH25" s="123"/>
      <c r="LI25" s="123"/>
      <c r="LJ25" s="123"/>
      <c r="LK25" s="123"/>
      <c r="LL25" s="123"/>
      <c r="LM25" s="123"/>
      <c r="LN25" s="123"/>
      <c r="LO25" s="123"/>
      <c r="LP25" s="123"/>
      <c r="LQ25" s="123"/>
      <c r="LR25" s="123"/>
      <c r="LS25" s="123"/>
      <c r="LT25" s="123"/>
      <c r="LU25" s="123"/>
      <c r="LV25" s="123"/>
      <c r="LW25" s="123"/>
      <c r="LX25" s="123"/>
      <c r="LY25" s="123"/>
      <c r="LZ25" s="123"/>
      <c r="MA25" s="123"/>
      <c r="MB25" s="123"/>
      <c r="MC25" s="123"/>
      <c r="MD25" s="123"/>
      <c r="ME25" s="123"/>
      <c r="MF25" s="123"/>
      <c r="MG25" s="123"/>
      <c r="MH25" s="123"/>
      <c r="MI25" s="123"/>
      <c r="MJ25" s="123"/>
      <c r="MK25" s="123"/>
      <c r="ML25" s="123"/>
      <c r="MM25" s="123"/>
      <c r="MN25" s="123"/>
      <c r="MO25" s="123"/>
      <c r="MP25" s="123"/>
      <c r="MQ25" s="123"/>
      <c r="MR25" s="123"/>
      <c r="MS25" s="123"/>
      <c r="MT25" s="123"/>
      <c r="MU25" s="123"/>
      <c r="MV25" s="123"/>
      <c r="MW25" s="123"/>
      <c r="MX25" s="123"/>
      <c r="MY25" s="123"/>
      <c r="MZ25" s="123"/>
      <c r="NA25" s="123"/>
      <c r="NB25" s="123"/>
      <c r="NC25" s="123"/>
      <c r="ND25" s="123"/>
      <c r="NE25" s="123"/>
      <c r="NF25" s="123"/>
      <c r="NG25" s="123"/>
      <c r="NH25" s="123"/>
      <c r="NI25" s="123"/>
      <c r="NJ25" s="123"/>
      <c r="NK25" s="123"/>
      <c r="NL25" s="123"/>
      <c r="NM25" s="123"/>
      <c r="NN25" s="123"/>
      <c r="NO25" s="123"/>
      <c r="NP25" s="123"/>
      <c r="NQ25" s="123"/>
      <c r="NR25" s="123"/>
      <c r="NS25" s="123"/>
      <c r="NT25" s="123"/>
      <c r="NU25" s="123"/>
      <c r="NV25" s="123"/>
      <c r="NW25" s="123"/>
      <c r="NX25" s="123"/>
      <c r="NY25" s="123"/>
      <c r="NZ25" s="123"/>
      <c r="OA25" s="123"/>
      <c r="OB25" s="123"/>
      <c r="OC25" s="123"/>
      <c r="OD25" s="123"/>
      <c r="OE25" s="123"/>
      <c r="OF25" s="123"/>
      <c r="OG25" s="123"/>
      <c r="OH25" s="123"/>
      <c r="OI25" s="123"/>
      <c r="OJ25" s="123"/>
      <c r="OK25" s="123"/>
      <c r="OL25" s="123"/>
      <c r="OM25" s="123"/>
      <c r="ON25" s="123"/>
      <c r="OO25" s="123"/>
      <c r="OP25" s="123"/>
      <c r="OQ25" s="123"/>
      <c r="OR25" s="123"/>
      <c r="OS25" s="123"/>
      <c r="OT25" s="123"/>
      <c r="OU25" s="123"/>
      <c r="OV25" s="123"/>
      <c r="OW25" s="123"/>
      <c r="OX25" s="123"/>
      <c r="OY25" s="123"/>
      <c r="OZ25" s="123"/>
      <c r="PA25" s="123"/>
      <c r="PB25" s="123"/>
      <c r="PC25" s="123"/>
      <c r="PD25" s="123"/>
      <c r="PE25" s="123"/>
      <c r="PF25" s="123"/>
      <c r="PG25" s="123"/>
      <c r="PH25" s="123"/>
      <c r="PI25" s="123"/>
      <c r="PJ25" s="123"/>
      <c r="PK25" s="123"/>
      <c r="PL25" s="123"/>
      <c r="PM25" s="123"/>
      <c r="PN25" s="123"/>
      <c r="PO25" s="123"/>
      <c r="PP25" s="123"/>
      <c r="PQ25" s="123"/>
      <c r="PR25" s="123"/>
      <c r="PS25" s="123"/>
      <c r="PT25" s="123"/>
      <c r="PU25" s="123"/>
      <c r="PV25" s="123"/>
      <c r="PW25" s="123"/>
      <c r="PX25" s="123"/>
      <c r="PY25" s="123"/>
      <c r="PZ25" s="123"/>
      <c r="QA25" s="123"/>
      <c r="QB25" s="123"/>
      <c r="QC25" s="123"/>
      <c r="QD25" s="123"/>
      <c r="QE25" s="123"/>
      <c r="QF25" s="123"/>
      <c r="QG25" s="123"/>
    </row>
    <row r="26" spans="1:449" s="156" customFormat="1" x14ac:dyDescent="0.25">
      <c r="A26" s="159" t="s">
        <v>66</v>
      </c>
      <c r="B26" s="164">
        <f>+(VLOOKUP(A26,'Ejercicio 1'!$M$40:$R$80,2,FALSE))*VLOOKUP(A26,'Ejercicio 1'!$E$40:$I$80,4,FALSE)</f>
        <v>104030</v>
      </c>
      <c r="C26" s="61" t="str">
        <f>+VLOOKUP(A26,'Ejercicio 1'!$E$40:$I$80,5,FALSE)</f>
        <v>u</v>
      </c>
      <c r="D26" s="160">
        <f>+(VLOOKUP(A26,'Ejercicio 1'!$M$40:$R$80,4,FALSE)+VLOOKUP(A26,'Ejercicio 1'!$M$40:$R$80,5,FALSE))*VLOOKUP(A26,'Ejercicio 1'!$E$40:$I$80,4,FALSE)/11</f>
        <v>9457.2727272727279</v>
      </c>
      <c r="E26" s="168">
        <v>2</v>
      </c>
      <c r="F26" s="199">
        <f>20000+G26</f>
        <v>20000</v>
      </c>
      <c r="G26" s="200"/>
      <c r="H26" s="199">
        <f t="shared" si="14"/>
        <v>10542.727272727272</v>
      </c>
      <c r="I26" s="200"/>
      <c r="J26" s="199">
        <f t="shared" si="1"/>
        <v>1085.4545454545441</v>
      </c>
      <c r="K26" s="200"/>
      <c r="L26" s="199">
        <f t="shared" si="2"/>
        <v>43643.181818181816</v>
      </c>
      <c r="M26" s="200">
        <f t="shared" si="42"/>
        <v>52015</v>
      </c>
      <c r="N26" s="199">
        <f t="shared" si="3"/>
        <v>34185.909090909088</v>
      </c>
      <c r="O26" s="200"/>
      <c r="P26" s="199">
        <f t="shared" si="5"/>
        <v>24728.63636363636</v>
      </c>
      <c r="Q26" s="200"/>
      <c r="R26" s="199">
        <f t="shared" si="6"/>
        <v>15271.363636363632</v>
      </c>
      <c r="S26" s="200"/>
      <c r="T26" s="199">
        <f t="shared" si="8"/>
        <v>5814.0909090909045</v>
      </c>
      <c r="U26" s="200"/>
      <c r="V26" s="199">
        <f t="shared" si="9"/>
        <v>48371.818181818177</v>
      </c>
      <c r="W26" s="200">
        <f t="shared" si="43"/>
        <v>52015</v>
      </c>
      <c r="X26" s="199">
        <f t="shared" si="10"/>
        <v>38914.545454545449</v>
      </c>
      <c r="Y26" s="200"/>
      <c r="Z26" s="199">
        <f t="shared" si="12"/>
        <v>29457.272727272721</v>
      </c>
      <c r="AA26" s="200"/>
      <c r="AB26" s="199">
        <f t="shared" si="12"/>
        <v>19999.999999999993</v>
      </c>
      <c r="AC26" s="200"/>
      <c r="AD26" s="125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  <c r="IV26" s="123"/>
      <c r="IW26" s="123"/>
      <c r="IX26" s="123"/>
      <c r="IY26" s="123"/>
      <c r="IZ26" s="123"/>
      <c r="JA26" s="123"/>
      <c r="JB26" s="123"/>
      <c r="JC26" s="123"/>
      <c r="JD26" s="123"/>
      <c r="JE26" s="123"/>
      <c r="JF26" s="123"/>
      <c r="JG26" s="123"/>
      <c r="JH26" s="123"/>
      <c r="JI26" s="123"/>
      <c r="JJ26" s="123"/>
      <c r="JK26" s="123"/>
      <c r="JL26" s="123"/>
      <c r="JM26" s="123"/>
      <c r="JN26" s="123"/>
      <c r="JO26" s="123"/>
      <c r="JP26" s="123"/>
      <c r="JQ26" s="123"/>
      <c r="JR26" s="123"/>
      <c r="JS26" s="123"/>
      <c r="JT26" s="123"/>
      <c r="JU26" s="123"/>
      <c r="JV26" s="123"/>
      <c r="JW26" s="123"/>
      <c r="JX26" s="123"/>
      <c r="JY26" s="123"/>
      <c r="JZ26" s="123"/>
      <c r="KA26" s="123"/>
      <c r="KB26" s="123"/>
      <c r="KC26" s="123"/>
      <c r="KD26" s="123"/>
      <c r="KE26" s="123"/>
      <c r="KF26" s="123"/>
      <c r="KG26" s="123"/>
      <c r="KH26" s="123"/>
      <c r="KI26" s="123"/>
      <c r="KJ26" s="123"/>
      <c r="KK26" s="123"/>
      <c r="KL26" s="123"/>
      <c r="KM26" s="123"/>
      <c r="KN26" s="123"/>
      <c r="KO26" s="123"/>
      <c r="KP26" s="123"/>
      <c r="KQ26" s="123"/>
      <c r="KR26" s="123"/>
      <c r="KS26" s="123"/>
      <c r="KT26" s="123"/>
      <c r="KU26" s="123"/>
      <c r="KV26" s="123"/>
      <c r="KW26" s="123"/>
      <c r="KX26" s="123"/>
      <c r="KY26" s="123"/>
      <c r="KZ26" s="123"/>
      <c r="LA26" s="123"/>
      <c r="LB26" s="123"/>
      <c r="LC26" s="123"/>
      <c r="LD26" s="123"/>
      <c r="LE26" s="123"/>
      <c r="LF26" s="123"/>
      <c r="LG26" s="123"/>
      <c r="LH26" s="123"/>
      <c r="LI26" s="123"/>
      <c r="LJ26" s="123"/>
      <c r="LK26" s="123"/>
      <c r="LL26" s="123"/>
      <c r="LM26" s="123"/>
      <c r="LN26" s="123"/>
      <c r="LO26" s="123"/>
      <c r="LP26" s="123"/>
      <c r="LQ26" s="123"/>
      <c r="LR26" s="123"/>
      <c r="LS26" s="123"/>
      <c r="LT26" s="123"/>
      <c r="LU26" s="123"/>
      <c r="LV26" s="123"/>
      <c r="LW26" s="123"/>
      <c r="LX26" s="123"/>
      <c r="LY26" s="123"/>
      <c r="LZ26" s="123"/>
      <c r="MA26" s="123"/>
      <c r="MB26" s="123"/>
      <c r="MC26" s="123"/>
      <c r="MD26" s="123"/>
      <c r="ME26" s="123"/>
      <c r="MF26" s="123"/>
      <c r="MG26" s="123"/>
      <c r="MH26" s="123"/>
      <c r="MI26" s="123"/>
      <c r="MJ26" s="123"/>
      <c r="MK26" s="123"/>
      <c r="ML26" s="123"/>
      <c r="MM26" s="123"/>
      <c r="MN26" s="123"/>
      <c r="MO26" s="123"/>
      <c r="MP26" s="123"/>
      <c r="MQ26" s="123"/>
      <c r="MR26" s="123"/>
      <c r="MS26" s="123"/>
      <c r="MT26" s="123"/>
      <c r="MU26" s="123"/>
      <c r="MV26" s="123"/>
      <c r="MW26" s="123"/>
      <c r="MX26" s="123"/>
      <c r="MY26" s="123"/>
      <c r="MZ26" s="123"/>
      <c r="NA26" s="123"/>
      <c r="NB26" s="123"/>
      <c r="NC26" s="123"/>
      <c r="ND26" s="123"/>
      <c r="NE26" s="123"/>
      <c r="NF26" s="123"/>
      <c r="NG26" s="123"/>
      <c r="NH26" s="123"/>
      <c r="NI26" s="123"/>
      <c r="NJ26" s="123"/>
      <c r="NK26" s="123"/>
      <c r="NL26" s="123"/>
      <c r="NM26" s="123"/>
      <c r="NN26" s="123"/>
      <c r="NO26" s="123"/>
      <c r="NP26" s="123"/>
      <c r="NQ26" s="123"/>
      <c r="NR26" s="123"/>
      <c r="NS26" s="123"/>
      <c r="NT26" s="123"/>
      <c r="NU26" s="123"/>
      <c r="NV26" s="123"/>
      <c r="NW26" s="123"/>
      <c r="NX26" s="123"/>
      <c r="NY26" s="123"/>
      <c r="NZ26" s="123"/>
      <c r="OA26" s="123"/>
      <c r="OB26" s="123"/>
      <c r="OC26" s="123"/>
      <c r="OD26" s="123"/>
      <c r="OE26" s="123"/>
      <c r="OF26" s="123"/>
      <c r="OG26" s="123"/>
      <c r="OH26" s="123"/>
      <c r="OI26" s="123"/>
      <c r="OJ26" s="123"/>
      <c r="OK26" s="123"/>
      <c r="OL26" s="123"/>
      <c r="OM26" s="123"/>
      <c r="ON26" s="123"/>
      <c r="OO26" s="123"/>
      <c r="OP26" s="123"/>
      <c r="OQ26" s="123"/>
      <c r="OR26" s="123"/>
      <c r="OS26" s="123"/>
      <c r="OT26" s="123"/>
      <c r="OU26" s="123"/>
      <c r="OV26" s="123"/>
      <c r="OW26" s="123"/>
      <c r="OX26" s="123"/>
      <c r="OY26" s="123"/>
      <c r="OZ26" s="123"/>
      <c r="PA26" s="123"/>
      <c r="PB26" s="123"/>
      <c r="PC26" s="123"/>
      <c r="PD26" s="123"/>
      <c r="PE26" s="123"/>
      <c r="PF26" s="123"/>
      <c r="PG26" s="123"/>
      <c r="PH26" s="123"/>
      <c r="PI26" s="123"/>
      <c r="PJ26" s="123"/>
      <c r="PK26" s="123"/>
      <c r="PL26" s="123"/>
      <c r="PM26" s="123"/>
      <c r="PN26" s="123"/>
      <c r="PO26" s="123"/>
      <c r="PP26" s="123"/>
      <c r="PQ26" s="123"/>
      <c r="PR26" s="123"/>
      <c r="PS26" s="123"/>
      <c r="PT26" s="123"/>
      <c r="PU26" s="123"/>
      <c r="PV26" s="123"/>
      <c r="PW26" s="123"/>
      <c r="PX26" s="123"/>
      <c r="PY26" s="123"/>
      <c r="PZ26" s="123"/>
      <c r="QA26" s="123"/>
      <c r="QB26" s="123"/>
      <c r="QC26" s="123"/>
      <c r="QD26" s="123"/>
      <c r="QE26" s="123"/>
      <c r="QF26" s="123"/>
      <c r="QG26" s="123"/>
    </row>
    <row r="27" spans="1:449" s="156" customFormat="1" x14ac:dyDescent="0.25">
      <c r="A27" s="159" t="s">
        <v>52</v>
      </c>
      <c r="B27" s="164">
        <f>+(VLOOKUP(A27,'Ejercicio 1'!$M$40:$R$80,2,FALSE))*VLOOKUP(A27,'Ejercicio 1'!$E$40:$I$80,4,FALSE)</f>
        <v>1167307.4999999998</v>
      </c>
      <c r="C27" s="61" t="str">
        <f>+VLOOKUP(A27,'Ejercicio 1'!$E$40:$I$80,5,FALSE)</f>
        <v>u</v>
      </c>
      <c r="D27" s="160">
        <f>+(VLOOKUP(A27,'Ejercicio 1'!$M$40:$R$80,4,FALSE)+VLOOKUP(A27,'Ejercicio 1'!$M$40:$R$80,5,FALSE))*VLOOKUP(A27,'Ejercicio 1'!$E$40:$I$80,4,FALSE)/11</f>
        <v>106118.86363636363</v>
      </c>
      <c r="E27" s="168">
        <v>2</v>
      </c>
      <c r="F27" s="199">
        <f>220000+G27</f>
        <v>220000</v>
      </c>
      <c r="G27" s="200"/>
      <c r="H27" s="199">
        <f t="shared" si="14"/>
        <v>113881.13636363637</v>
      </c>
      <c r="I27" s="200"/>
      <c r="J27" s="199">
        <f t="shared" si="1"/>
        <v>7762.2727272727352</v>
      </c>
      <c r="K27" s="200"/>
      <c r="L27" s="199">
        <f t="shared" si="2"/>
        <v>485297.15909090894</v>
      </c>
      <c r="M27" s="200">
        <f t="shared" si="42"/>
        <v>583653.74999999988</v>
      </c>
      <c r="N27" s="199">
        <f t="shared" si="3"/>
        <v>379178.2954545453</v>
      </c>
      <c r="O27" s="200"/>
      <c r="P27" s="199">
        <f t="shared" si="5"/>
        <v>273059.43181818165</v>
      </c>
      <c r="Q27" s="200"/>
      <c r="R27" s="199">
        <f t="shared" si="6"/>
        <v>166940.568181818</v>
      </c>
      <c r="S27" s="200"/>
      <c r="T27" s="199">
        <f t="shared" si="8"/>
        <v>60821.70454545437</v>
      </c>
      <c r="U27" s="200"/>
      <c r="V27" s="199">
        <f t="shared" si="9"/>
        <v>538356.59090909059</v>
      </c>
      <c r="W27" s="200">
        <f t="shared" si="43"/>
        <v>583653.74999999988</v>
      </c>
      <c r="X27" s="199">
        <f t="shared" si="10"/>
        <v>432237.72727272694</v>
      </c>
      <c r="Y27" s="200"/>
      <c r="Z27" s="199">
        <f t="shared" si="12"/>
        <v>326118.8636363633</v>
      </c>
      <c r="AA27" s="200"/>
      <c r="AB27" s="199">
        <f t="shared" si="12"/>
        <v>219999.99999999965</v>
      </c>
      <c r="AC27" s="200"/>
      <c r="AD27" s="125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  <c r="IV27" s="123"/>
      <c r="IW27" s="123"/>
      <c r="IX27" s="123"/>
      <c r="IY27" s="123"/>
      <c r="IZ27" s="123"/>
      <c r="JA27" s="123"/>
      <c r="JB27" s="123"/>
      <c r="JC27" s="123"/>
      <c r="JD27" s="123"/>
      <c r="JE27" s="123"/>
      <c r="JF27" s="123"/>
      <c r="JG27" s="123"/>
      <c r="JH27" s="123"/>
      <c r="JI27" s="123"/>
      <c r="JJ27" s="123"/>
      <c r="JK27" s="123"/>
      <c r="JL27" s="123"/>
      <c r="JM27" s="123"/>
      <c r="JN27" s="123"/>
      <c r="JO27" s="123"/>
      <c r="JP27" s="123"/>
      <c r="JQ27" s="123"/>
      <c r="JR27" s="123"/>
      <c r="JS27" s="123"/>
      <c r="JT27" s="123"/>
      <c r="JU27" s="123"/>
      <c r="JV27" s="123"/>
      <c r="JW27" s="123"/>
      <c r="JX27" s="123"/>
      <c r="JY27" s="123"/>
      <c r="JZ27" s="123"/>
      <c r="KA27" s="123"/>
      <c r="KB27" s="123"/>
      <c r="KC27" s="123"/>
      <c r="KD27" s="123"/>
      <c r="KE27" s="123"/>
      <c r="KF27" s="123"/>
      <c r="KG27" s="123"/>
      <c r="KH27" s="123"/>
      <c r="KI27" s="123"/>
      <c r="KJ27" s="123"/>
      <c r="KK27" s="123"/>
      <c r="KL27" s="123"/>
      <c r="KM27" s="123"/>
      <c r="KN27" s="123"/>
      <c r="KO27" s="123"/>
      <c r="KP27" s="123"/>
      <c r="KQ27" s="123"/>
      <c r="KR27" s="123"/>
      <c r="KS27" s="123"/>
      <c r="KT27" s="123"/>
      <c r="KU27" s="123"/>
      <c r="KV27" s="123"/>
      <c r="KW27" s="123"/>
      <c r="KX27" s="123"/>
      <c r="KY27" s="123"/>
      <c r="KZ27" s="123"/>
      <c r="LA27" s="123"/>
      <c r="LB27" s="123"/>
      <c r="LC27" s="123"/>
      <c r="LD27" s="123"/>
      <c r="LE27" s="123"/>
      <c r="LF27" s="123"/>
      <c r="LG27" s="123"/>
      <c r="LH27" s="123"/>
      <c r="LI27" s="123"/>
      <c r="LJ27" s="123"/>
      <c r="LK27" s="123"/>
      <c r="LL27" s="123"/>
      <c r="LM27" s="123"/>
      <c r="LN27" s="123"/>
      <c r="LO27" s="123"/>
      <c r="LP27" s="123"/>
      <c r="LQ27" s="123"/>
      <c r="LR27" s="123"/>
      <c r="LS27" s="123"/>
      <c r="LT27" s="123"/>
      <c r="LU27" s="123"/>
      <c r="LV27" s="123"/>
      <c r="LW27" s="123"/>
      <c r="LX27" s="123"/>
      <c r="LY27" s="123"/>
      <c r="LZ27" s="123"/>
      <c r="MA27" s="123"/>
      <c r="MB27" s="123"/>
      <c r="MC27" s="123"/>
      <c r="MD27" s="123"/>
      <c r="ME27" s="123"/>
      <c r="MF27" s="123"/>
      <c r="MG27" s="123"/>
      <c r="MH27" s="123"/>
      <c r="MI27" s="123"/>
      <c r="MJ27" s="123"/>
      <c r="MK27" s="123"/>
      <c r="ML27" s="123"/>
      <c r="MM27" s="123"/>
      <c r="MN27" s="123"/>
      <c r="MO27" s="123"/>
      <c r="MP27" s="123"/>
      <c r="MQ27" s="123"/>
      <c r="MR27" s="123"/>
      <c r="MS27" s="123"/>
      <c r="MT27" s="123"/>
      <c r="MU27" s="123"/>
      <c r="MV27" s="123"/>
      <c r="MW27" s="123"/>
      <c r="MX27" s="123"/>
      <c r="MY27" s="123"/>
      <c r="MZ27" s="123"/>
      <c r="NA27" s="123"/>
      <c r="NB27" s="123"/>
      <c r="NC27" s="123"/>
      <c r="ND27" s="123"/>
      <c r="NE27" s="123"/>
      <c r="NF27" s="123"/>
      <c r="NG27" s="123"/>
      <c r="NH27" s="123"/>
      <c r="NI27" s="123"/>
      <c r="NJ27" s="123"/>
      <c r="NK27" s="123"/>
      <c r="NL27" s="123"/>
      <c r="NM27" s="123"/>
      <c r="NN27" s="123"/>
      <c r="NO27" s="123"/>
      <c r="NP27" s="123"/>
      <c r="NQ27" s="123"/>
      <c r="NR27" s="123"/>
      <c r="NS27" s="123"/>
      <c r="NT27" s="123"/>
      <c r="NU27" s="123"/>
      <c r="NV27" s="123"/>
      <c r="NW27" s="123"/>
      <c r="NX27" s="123"/>
      <c r="NY27" s="123"/>
      <c r="NZ27" s="123"/>
      <c r="OA27" s="123"/>
      <c r="OB27" s="123"/>
      <c r="OC27" s="123"/>
      <c r="OD27" s="123"/>
      <c r="OE27" s="123"/>
      <c r="OF27" s="123"/>
      <c r="OG27" s="123"/>
      <c r="OH27" s="123"/>
      <c r="OI27" s="123"/>
      <c r="OJ27" s="123"/>
      <c r="OK27" s="123"/>
      <c r="OL27" s="123"/>
      <c r="OM27" s="123"/>
      <c r="ON27" s="123"/>
      <c r="OO27" s="123"/>
      <c r="OP27" s="123"/>
      <c r="OQ27" s="123"/>
      <c r="OR27" s="123"/>
      <c r="OS27" s="123"/>
      <c r="OT27" s="123"/>
      <c r="OU27" s="123"/>
      <c r="OV27" s="123"/>
      <c r="OW27" s="123"/>
      <c r="OX27" s="123"/>
      <c r="OY27" s="123"/>
      <c r="OZ27" s="123"/>
      <c r="PA27" s="123"/>
      <c r="PB27" s="123"/>
      <c r="PC27" s="123"/>
      <c r="PD27" s="123"/>
      <c r="PE27" s="123"/>
      <c r="PF27" s="123"/>
      <c r="PG27" s="123"/>
      <c r="PH27" s="123"/>
      <c r="PI27" s="123"/>
      <c r="PJ27" s="123"/>
      <c r="PK27" s="123"/>
      <c r="PL27" s="123"/>
      <c r="PM27" s="123"/>
      <c r="PN27" s="123"/>
      <c r="PO27" s="123"/>
      <c r="PP27" s="123"/>
      <c r="PQ27" s="123"/>
      <c r="PR27" s="123"/>
      <c r="PS27" s="123"/>
      <c r="PT27" s="123"/>
      <c r="PU27" s="123"/>
      <c r="PV27" s="123"/>
      <c r="PW27" s="123"/>
      <c r="PX27" s="123"/>
      <c r="PY27" s="123"/>
      <c r="PZ27" s="123"/>
      <c r="QA27" s="123"/>
      <c r="QB27" s="123"/>
      <c r="QC27" s="123"/>
      <c r="QD27" s="123"/>
      <c r="QE27" s="123"/>
      <c r="QF27" s="123"/>
      <c r="QG27" s="123"/>
    </row>
    <row r="28" spans="1:449" s="156" customFormat="1" x14ac:dyDescent="0.25">
      <c r="A28" s="159" t="s">
        <v>33</v>
      </c>
      <c r="B28" s="164">
        <f>+(VLOOKUP(A28,'Ejercicio 1'!$M$40:$R$80,2,FALSE))*VLOOKUP(A28,'Ejercicio 1'!$E$40:$I$80,4,FALSE)</f>
        <v>52015</v>
      </c>
      <c r="C28" s="61" t="str">
        <f>+VLOOKUP(A28,'Ejercicio 1'!$E$40:$I$80,5,FALSE)</f>
        <v>u</v>
      </c>
      <c r="D28" s="160">
        <f>+(VLOOKUP(A28,'Ejercicio 1'!$M$40:$R$80,4,FALSE)+VLOOKUP(A28,'Ejercicio 1'!$M$40:$R$80,5,FALSE))*VLOOKUP(A28,'Ejercicio 1'!$E$40:$I$80,4,FALSE)/11</f>
        <v>4728.636363636364</v>
      </c>
      <c r="E28" s="168">
        <v>4</v>
      </c>
      <c r="F28" s="199">
        <f>2500+G28</f>
        <v>2500</v>
      </c>
      <c r="G28" s="200"/>
      <c r="H28" s="199">
        <f t="shared" si="14"/>
        <v>10775.113636363636</v>
      </c>
      <c r="I28" s="200">
        <f t="shared" ref="I28" si="44">+$B28/$E28</f>
        <v>13003.75</v>
      </c>
      <c r="J28" s="199">
        <f t="shared" si="1"/>
        <v>6046.4772727272721</v>
      </c>
      <c r="K28" s="200"/>
      <c r="L28" s="199">
        <f t="shared" si="2"/>
        <v>1317.8409090909081</v>
      </c>
      <c r="M28" s="200"/>
      <c r="N28" s="199">
        <f t="shared" si="3"/>
        <v>9592.9545454545441</v>
      </c>
      <c r="O28" s="200">
        <f t="shared" ref="O28" si="45">+$B28/$E28</f>
        <v>13003.75</v>
      </c>
      <c r="P28" s="199">
        <f t="shared" si="5"/>
        <v>4864.3181818181802</v>
      </c>
      <c r="Q28" s="200"/>
      <c r="R28" s="199">
        <f t="shared" si="6"/>
        <v>13139.431818181816</v>
      </c>
      <c r="S28" s="200">
        <f t="shared" ref="S28" si="46">+$B28/$E28</f>
        <v>13003.75</v>
      </c>
      <c r="T28" s="199">
        <f t="shared" si="8"/>
        <v>8410.7954545454522</v>
      </c>
      <c r="U28" s="200"/>
      <c r="V28" s="199">
        <f t="shared" si="9"/>
        <v>3682.1590909090883</v>
      </c>
      <c r="W28" s="200"/>
      <c r="X28" s="199">
        <f t="shared" si="10"/>
        <v>11957.272727272724</v>
      </c>
      <c r="Y28" s="200">
        <f t="shared" ref="Y28" si="47">+$B28/$E28</f>
        <v>13003.75</v>
      </c>
      <c r="Z28" s="199">
        <f t="shared" si="12"/>
        <v>7228.6363636363603</v>
      </c>
      <c r="AA28" s="200"/>
      <c r="AB28" s="199">
        <f t="shared" si="12"/>
        <v>15503.749999999996</v>
      </c>
      <c r="AC28" s="200">
        <f t="shared" ref="AC28" si="48">+$B28/$E28</f>
        <v>13003.75</v>
      </c>
      <c r="AD28" s="125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  <c r="IV28" s="123"/>
      <c r="IW28" s="123"/>
      <c r="IX28" s="123"/>
      <c r="IY28" s="123"/>
      <c r="IZ28" s="123"/>
      <c r="JA28" s="123"/>
      <c r="JB28" s="123"/>
      <c r="JC28" s="123"/>
      <c r="JD28" s="123"/>
      <c r="JE28" s="123"/>
      <c r="JF28" s="123"/>
      <c r="JG28" s="123"/>
      <c r="JH28" s="123"/>
      <c r="JI28" s="123"/>
      <c r="JJ28" s="123"/>
      <c r="JK28" s="123"/>
      <c r="JL28" s="123"/>
      <c r="JM28" s="123"/>
      <c r="JN28" s="123"/>
      <c r="JO28" s="123"/>
      <c r="JP28" s="123"/>
      <c r="JQ28" s="123"/>
      <c r="JR28" s="123"/>
      <c r="JS28" s="123"/>
      <c r="JT28" s="123"/>
      <c r="JU28" s="123"/>
      <c r="JV28" s="123"/>
      <c r="JW28" s="123"/>
      <c r="JX28" s="123"/>
      <c r="JY28" s="123"/>
      <c r="JZ28" s="123"/>
      <c r="KA28" s="123"/>
      <c r="KB28" s="123"/>
      <c r="KC28" s="123"/>
      <c r="KD28" s="123"/>
      <c r="KE28" s="123"/>
      <c r="KF28" s="123"/>
      <c r="KG28" s="123"/>
      <c r="KH28" s="123"/>
      <c r="KI28" s="123"/>
      <c r="KJ28" s="123"/>
      <c r="KK28" s="123"/>
      <c r="KL28" s="123"/>
      <c r="KM28" s="123"/>
      <c r="KN28" s="123"/>
      <c r="KO28" s="123"/>
      <c r="KP28" s="123"/>
      <c r="KQ28" s="123"/>
      <c r="KR28" s="123"/>
      <c r="KS28" s="123"/>
      <c r="KT28" s="123"/>
      <c r="KU28" s="123"/>
      <c r="KV28" s="123"/>
      <c r="KW28" s="123"/>
      <c r="KX28" s="123"/>
      <c r="KY28" s="123"/>
      <c r="KZ28" s="123"/>
      <c r="LA28" s="123"/>
      <c r="LB28" s="123"/>
      <c r="LC28" s="123"/>
      <c r="LD28" s="123"/>
      <c r="LE28" s="123"/>
      <c r="LF28" s="123"/>
      <c r="LG28" s="123"/>
      <c r="LH28" s="123"/>
      <c r="LI28" s="123"/>
      <c r="LJ28" s="123"/>
      <c r="LK28" s="123"/>
      <c r="LL28" s="123"/>
      <c r="LM28" s="123"/>
      <c r="LN28" s="123"/>
      <c r="LO28" s="123"/>
      <c r="LP28" s="123"/>
      <c r="LQ28" s="123"/>
      <c r="LR28" s="123"/>
      <c r="LS28" s="123"/>
      <c r="LT28" s="123"/>
      <c r="LU28" s="123"/>
      <c r="LV28" s="123"/>
      <c r="LW28" s="123"/>
      <c r="LX28" s="123"/>
      <c r="LY28" s="123"/>
      <c r="LZ28" s="123"/>
      <c r="MA28" s="123"/>
      <c r="MB28" s="123"/>
      <c r="MC28" s="123"/>
      <c r="MD28" s="123"/>
      <c r="ME28" s="123"/>
      <c r="MF28" s="123"/>
      <c r="MG28" s="123"/>
      <c r="MH28" s="123"/>
      <c r="MI28" s="123"/>
      <c r="MJ28" s="123"/>
      <c r="MK28" s="123"/>
      <c r="ML28" s="123"/>
      <c r="MM28" s="123"/>
      <c r="MN28" s="123"/>
      <c r="MO28" s="123"/>
      <c r="MP28" s="123"/>
      <c r="MQ28" s="123"/>
      <c r="MR28" s="123"/>
      <c r="MS28" s="123"/>
      <c r="MT28" s="123"/>
      <c r="MU28" s="123"/>
      <c r="MV28" s="123"/>
      <c r="MW28" s="123"/>
      <c r="MX28" s="123"/>
      <c r="MY28" s="123"/>
      <c r="MZ28" s="123"/>
      <c r="NA28" s="123"/>
      <c r="NB28" s="123"/>
      <c r="NC28" s="123"/>
      <c r="ND28" s="123"/>
      <c r="NE28" s="123"/>
      <c r="NF28" s="123"/>
      <c r="NG28" s="123"/>
      <c r="NH28" s="123"/>
      <c r="NI28" s="123"/>
      <c r="NJ28" s="123"/>
      <c r="NK28" s="123"/>
      <c r="NL28" s="123"/>
      <c r="NM28" s="123"/>
      <c r="NN28" s="123"/>
      <c r="NO28" s="123"/>
      <c r="NP28" s="123"/>
      <c r="NQ28" s="123"/>
      <c r="NR28" s="123"/>
      <c r="NS28" s="123"/>
      <c r="NT28" s="123"/>
      <c r="NU28" s="123"/>
      <c r="NV28" s="123"/>
      <c r="NW28" s="123"/>
      <c r="NX28" s="123"/>
      <c r="NY28" s="123"/>
      <c r="NZ28" s="123"/>
      <c r="OA28" s="123"/>
      <c r="OB28" s="123"/>
      <c r="OC28" s="123"/>
      <c r="OD28" s="123"/>
      <c r="OE28" s="123"/>
      <c r="OF28" s="123"/>
      <c r="OG28" s="123"/>
      <c r="OH28" s="123"/>
      <c r="OI28" s="123"/>
      <c r="OJ28" s="123"/>
      <c r="OK28" s="123"/>
      <c r="OL28" s="123"/>
      <c r="OM28" s="123"/>
      <c r="ON28" s="123"/>
      <c r="OO28" s="123"/>
      <c r="OP28" s="123"/>
      <c r="OQ28" s="123"/>
      <c r="OR28" s="123"/>
      <c r="OS28" s="123"/>
      <c r="OT28" s="123"/>
      <c r="OU28" s="123"/>
      <c r="OV28" s="123"/>
      <c r="OW28" s="123"/>
      <c r="OX28" s="123"/>
      <c r="OY28" s="123"/>
      <c r="OZ28" s="123"/>
      <c r="PA28" s="123"/>
      <c r="PB28" s="123"/>
      <c r="PC28" s="123"/>
      <c r="PD28" s="123"/>
      <c r="PE28" s="123"/>
      <c r="PF28" s="123"/>
      <c r="PG28" s="123"/>
      <c r="PH28" s="123"/>
      <c r="PI28" s="123"/>
      <c r="PJ28" s="123"/>
      <c r="PK28" s="123"/>
      <c r="PL28" s="123"/>
      <c r="PM28" s="123"/>
      <c r="PN28" s="123"/>
      <c r="PO28" s="123"/>
      <c r="PP28" s="123"/>
      <c r="PQ28" s="123"/>
      <c r="PR28" s="123"/>
      <c r="PS28" s="123"/>
      <c r="PT28" s="123"/>
      <c r="PU28" s="123"/>
      <c r="PV28" s="123"/>
      <c r="PW28" s="123"/>
      <c r="PX28" s="123"/>
      <c r="PY28" s="123"/>
      <c r="PZ28" s="123"/>
      <c r="QA28" s="123"/>
      <c r="QB28" s="123"/>
      <c r="QC28" s="123"/>
      <c r="QD28" s="123"/>
      <c r="QE28" s="123"/>
      <c r="QF28" s="123"/>
      <c r="QG28" s="123"/>
    </row>
    <row r="29" spans="1:449" s="156" customFormat="1" x14ac:dyDescent="0.25">
      <c r="A29" s="159" t="s">
        <v>2</v>
      </c>
      <c r="B29" s="164">
        <f>+(VLOOKUP(A29,'Ejercicio 1'!$M$40:$R$80,2,FALSE))*VLOOKUP(A29,'Ejercicio 1'!$E$40:$I$80,4,FALSE)</f>
        <v>1575000</v>
      </c>
      <c r="C29" s="61" t="str">
        <f>+VLOOKUP(A29,'Ejercicio 1'!$E$40:$I$80,5,FALSE)</f>
        <v>gr</v>
      </c>
      <c r="D29" s="160">
        <f>+(VLOOKUP(A29,'Ejercicio 1'!$M$40:$R$80,4,FALSE)+VLOOKUP(A29,'Ejercicio 1'!$M$40:$R$80,5,FALSE))*VLOOKUP(A29,'Ejercicio 1'!$E$40:$I$80,4,FALSE)/11</f>
        <v>143181.81818181818</v>
      </c>
      <c r="E29" s="168">
        <v>3</v>
      </c>
      <c r="F29" s="199">
        <f>270000+G29</f>
        <v>795000</v>
      </c>
      <c r="G29" s="200">
        <f t="shared" ref="G29:G32" si="49">+$B29/$E29</f>
        <v>525000</v>
      </c>
      <c r="H29" s="199">
        <f t="shared" si="14"/>
        <v>651818.18181818188</v>
      </c>
      <c r="I29" s="200"/>
      <c r="J29" s="199">
        <f t="shared" si="1"/>
        <v>508636.36363636371</v>
      </c>
      <c r="K29" s="200"/>
      <c r="L29" s="199">
        <f t="shared" si="2"/>
        <v>365454.54545454553</v>
      </c>
      <c r="M29" s="200"/>
      <c r="N29" s="199">
        <f t="shared" si="3"/>
        <v>222272.72727272735</v>
      </c>
      <c r="O29" s="200"/>
      <c r="P29" s="199">
        <f t="shared" si="5"/>
        <v>604090.90909090918</v>
      </c>
      <c r="Q29" s="200">
        <f t="shared" ref="Q29:Q32" si="50">+$B29/$E29</f>
        <v>525000</v>
      </c>
      <c r="R29" s="199">
        <f t="shared" si="6"/>
        <v>460909.090909091</v>
      </c>
      <c r="S29" s="200"/>
      <c r="T29" s="199">
        <f t="shared" si="8"/>
        <v>317727.27272727282</v>
      </c>
      <c r="U29" s="200"/>
      <c r="V29" s="199">
        <f t="shared" si="9"/>
        <v>174545.45454545465</v>
      </c>
      <c r="W29" s="200"/>
      <c r="X29" s="199">
        <f t="shared" si="10"/>
        <v>31363.636363636469</v>
      </c>
      <c r="Y29" s="200"/>
      <c r="Z29" s="199">
        <f t="shared" si="12"/>
        <v>413181.81818181829</v>
      </c>
      <c r="AA29" s="200">
        <f t="shared" ref="AA29:AA32" si="51">+$B29/$E29</f>
        <v>525000</v>
      </c>
      <c r="AB29" s="199">
        <f t="shared" si="12"/>
        <v>270000.00000000012</v>
      </c>
      <c r="AC29" s="200"/>
      <c r="AD29" s="125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  <c r="IR29" s="123"/>
      <c r="IS29" s="123"/>
      <c r="IT29" s="123"/>
      <c r="IU29" s="123"/>
      <c r="IV29" s="123"/>
      <c r="IW29" s="123"/>
      <c r="IX29" s="123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3"/>
      <c r="NJ29" s="123"/>
      <c r="NK29" s="123"/>
      <c r="NL29" s="123"/>
      <c r="NM29" s="123"/>
      <c r="NN29" s="123"/>
      <c r="NO29" s="123"/>
      <c r="NP29" s="123"/>
      <c r="NQ29" s="123"/>
      <c r="NR29" s="123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</row>
    <row r="30" spans="1:449" s="156" customFormat="1" ht="30" x14ac:dyDescent="0.25">
      <c r="A30" s="159" t="s">
        <v>30</v>
      </c>
      <c r="B30" s="164">
        <f>+(VLOOKUP(A30,'Ejercicio 1'!$M$40:$R$80,2,FALSE))*VLOOKUP(A30,'Ejercicio 1'!$E$40:$I$80,4,FALSE)</f>
        <v>52546.651627499989</v>
      </c>
      <c r="C30" s="61" t="str">
        <f>+VLOOKUP(A30,'Ejercicio 1'!$E$40:$I$80,5,FALSE)</f>
        <v>u</v>
      </c>
      <c r="D30" s="160">
        <f>+(VLOOKUP(A30,'Ejercicio 1'!$M$40:$R$80,4,FALSE)+VLOOKUP(A30,'Ejercicio 1'!$M$40:$R$80,5,FALSE))*VLOOKUP(A30,'Ejercicio 1'!$E$40:$I$80,4,FALSE)/11</f>
        <v>4776.9683297727279</v>
      </c>
      <c r="E30" s="168">
        <v>3</v>
      </c>
      <c r="F30" s="199">
        <f>11000+G30</f>
        <v>28515.550542499997</v>
      </c>
      <c r="G30" s="200">
        <f t="shared" si="49"/>
        <v>17515.550542499997</v>
      </c>
      <c r="H30" s="199">
        <f t="shared" si="14"/>
        <v>23738.58221272727</v>
      </c>
      <c r="I30" s="200"/>
      <c r="J30" s="199">
        <f t="shared" si="1"/>
        <v>18961.613882954542</v>
      </c>
      <c r="K30" s="200"/>
      <c r="L30" s="199">
        <f t="shared" si="2"/>
        <v>14184.645553181814</v>
      </c>
      <c r="M30" s="200"/>
      <c r="N30" s="199">
        <f t="shared" si="3"/>
        <v>9407.6772234090859</v>
      </c>
      <c r="O30" s="200"/>
      <c r="P30" s="199">
        <f t="shared" si="5"/>
        <v>22146.259436136355</v>
      </c>
      <c r="Q30" s="200">
        <f t="shared" si="50"/>
        <v>17515.550542499997</v>
      </c>
      <c r="R30" s="199">
        <f t="shared" si="6"/>
        <v>17369.291106363627</v>
      </c>
      <c r="S30" s="200"/>
      <c r="T30" s="199">
        <f t="shared" si="8"/>
        <v>12592.3227765909</v>
      </c>
      <c r="U30" s="200"/>
      <c r="V30" s="199">
        <f t="shared" si="9"/>
        <v>7815.3544468181717</v>
      </c>
      <c r="W30" s="200"/>
      <c r="X30" s="199">
        <f t="shared" si="10"/>
        <v>3038.3861170454438</v>
      </c>
      <c r="Y30" s="200"/>
      <c r="Z30" s="199">
        <f t="shared" si="12"/>
        <v>15776.968329772713</v>
      </c>
      <c r="AA30" s="200">
        <f t="shared" si="51"/>
        <v>17515.550542499997</v>
      </c>
      <c r="AB30" s="199">
        <f t="shared" si="12"/>
        <v>10999.999999999985</v>
      </c>
      <c r="AC30" s="200"/>
      <c r="AD30" s="125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  <c r="IV30" s="123"/>
      <c r="IW30" s="123"/>
      <c r="IX30" s="123"/>
      <c r="IY30" s="123"/>
      <c r="IZ30" s="123"/>
      <c r="JA30" s="123"/>
      <c r="JB30" s="123"/>
      <c r="JC30" s="123"/>
      <c r="JD30" s="123"/>
      <c r="JE30" s="123"/>
      <c r="JF30" s="123"/>
      <c r="JG30" s="123"/>
      <c r="JH30" s="123"/>
      <c r="JI30" s="123"/>
      <c r="JJ30" s="123"/>
      <c r="JK30" s="123"/>
      <c r="JL30" s="123"/>
      <c r="JM30" s="123"/>
      <c r="JN30" s="123"/>
      <c r="JO30" s="123"/>
      <c r="JP30" s="123"/>
      <c r="JQ30" s="123"/>
      <c r="JR30" s="123"/>
      <c r="JS30" s="123"/>
      <c r="JT30" s="123"/>
      <c r="JU30" s="123"/>
      <c r="JV30" s="123"/>
      <c r="JW30" s="123"/>
      <c r="JX30" s="123"/>
      <c r="JY30" s="123"/>
      <c r="JZ30" s="123"/>
      <c r="KA30" s="123"/>
      <c r="KB30" s="123"/>
      <c r="KC30" s="123"/>
      <c r="KD30" s="123"/>
      <c r="KE30" s="123"/>
      <c r="KF30" s="123"/>
      <c r="KG30" s="123"/>
      <c r="KH30" s="123"/>
      <c r="KI30" s="123"/>
      <c r="KJ30" s="123"/>
      <c r="KK30" s="123"/>
      <c r="KL30" s="123"/>
      <c r="KM30" s="123"/>
      <c r="KN30" s="123"/>
      <c r="KO30" s="123"/>
      <c r="KP30" s="123"/>
      <c r="KQ30" s="123"/>
      <c r="KR30" s="123"/>
      <c r="KS30" s="123"/>
      <c r="KT30" s="123"/>
      <c r="KU30" s="123"/>
      <c r="KV30" s="123"/>
      <c r="KW30" s="123"/>
      <c r="KX30" s="123"/>
      <c r="KY30" s="123"/>
      <c r="KZ30" s="123"/>
      <c r="LA30" s="123"/>
      <c r="LB30" s="123"/>
      <c r="LC30" s="123"/>
      <c r="LD30" s="123"/>
      <c r="LE30" s="123"/>
      <c r="LF30" s="123"/>
      <c r="LG30" s="123"/>
      <c r="LH30" s="123"/>
      <c r="LI30" s="123"/>
      <c r="LJ30" s="123"/>
      <c r="LK30" s="123"/>
      <c r="LL30" s="123"/>
      <c r="LM30" s="123"/>
      <c r="LN30" s="123"/>
      <c r="LO30" s="123"/>
      <c r="LP30" s="123"/>
      <c r="LQ30" s="123"/>
      <c r="LR30" s="123"/>
      <c r="LS30" s="123"/>
      <c r="LT30" s="123"/>
      <c r="LU30" s="123"/>
      <c r="LV30" s="123"/>
      <c r="LW30" s="123"/>
      <c r="LX30" s="123"/>
      <c r="LY30" s="123"/>
      <c r="LZ30" s="123"/>
      <c r="MA30" s="123"/>
      <c r="MB30" s="123"/>
      <c r="MC30" s="123"/>
      <c r="MD30" s="123"/>
      <c r="ME30" s="123"/>
      <c r="MF30" s="123"/>
      <c r="MG30" s="123"/>
      <c r="MH30" s="123"/>
      <c r="MI30" s="123"/>
      <c r="MJ30" s="123"/>
      <c r="MK30" s="123"/>
      <c r="ML30" s="123"/>
      <c r="MM30" s="123"/>
      <c r="MN30" s="123"/>
      <c r="MO30" s="123"/>
      <c r="MP30" s="123"/>
      <c r="MQ30" s="123"/>
      <c r="MR30" s="123"/>
      <c r="MS30" s="123"/>
      <c r="MT30" s="123"/>
      <c r="MU30" s="123"/>
      <c r="MV30" s="123"/>
      <c r="MW30" s="123"/>
      <c r="MX30" s="123"/>
      <c r="MY30" s="123"/>
      <c r="MZ30" s="123"/>
      <c r="NA30" s="123"/>
      <c r="NB30" s="123"/>
      <c r="NC30" s="123"/>
      <c r="ND30" s="123"/>
      <c r="NE30" s="123"/>
      <c r="NF30" s="123"/>
      <c r="NG30" s="123"/>
      <c r="NH30" s="123"/>
      <c r="NI30" s="123"/>
      <c r="NJ30" s="123"/>
      <c r="NK30" s="123"/>
      <c r="NL30" s="123"/>
      <c r="NM30" s="123"/>
      <c r="NN30" s="123"/>
      <c r="NO30" s="123"/>
      <c r="NP30" s="123"/>
      <c r="NQ30" s="123"/>
      <c r="NR30" s="123"/>
      <c r="NS30" s="123"/>
      <c r="NT30" s="123"/>
      <c r="NU30" s="123"/>
      <c r="NV30" s="123"/>
      <c r="NW30" s="123"/>
      <c r="NX30" s="123"/>
      <c r="NY30" s="123"/>
      <c r="NZ30" s="123"/>
      <c r="OA30" s="123"/>
      <c r="OB30" s="123"/>
      <c r="OC30" s="123"/>
      <c r="OD30" s="123"/>
      <c r="OE30" s="123"/>
      <c r="OF30" s="123"/>
      <c r="OG30" s="123"/>
      <c r="OH30" s="123"/>
      <c r="OI30" s="123"/>
      <c r="OJ30" s="123"/>
      <c r="OK30" s="123"/>
      <c r="OL30" s="123"/>
      <c r="OM30" s="123"/>
      <c r="ON30" s="123"/>
      <c r="OO30" s="123"/>
      <c r="OP30" s="123"/>
      <c r="OQ30" s="123"/>
      <c r="OR30" s="123"/>
      <c r="OS30" s="123"/>
      <c r="OT30" s="123"/>
      <c r="OU30" s="123"/>
      <c r="OV30" s="123"/>
      <c r="OW30" s="123"/>
      <c r="OX30" s="123"/>
      <c r="OY30" s="123"/>
      <c r="OZ30" s="123"/>
      <c r="PA30" s="123"/>
      <c r="PB30" s="123"/>
      <c r="PC30" s="123"/>
      <c r="PD30" s="123"/>
      <c r="PE30" s="123"/>
      <c r="PF30" s="123"/>
      <c r="PG30" s="123"/>
      <c r="PH30" s="123"/>
      <c r="PI30" s="123"/>
      <c r="PJ30" s="123"/>
      <c r="PK30" s="123"/>
      <c r="PL30" s="123"/>
      <c r="PM30" s="123"/>
      <c r="PN30" s="123"/>
      <c r="PO30" s="123"/>
      <c r="PP30" s="123"/>
      <c r="PQ30" s="123"/>
      <c r="PR30" s="123"/>
      <c r="PS30" s="123"/>
      <c r="PT30" s="123"/>
      <c r="PU30" s="123"/>
      <c r="PV30" s="123"/>
      <c r="PW30" s="123"/>
      <c r="PX30" s="123"/>
      <c r="PY30" s="123"/>
      <c r="PZ30" s="123"/>
      <c r="QA30" s="123"/>
      <c r="QB30" s="123"/>
      <c r="QC30" s="123"/>
      <c r="QD30" s="123"/>
      <c r="QE30" s="123"/>
      <c r="QF30" s="123"/>
      <c r="QG30" s="123"/>
    </row>
    <row r="31" spans="1:449" s="156" customFormat="1" ht="30" x14ac:dyDescent="0.25">
      <c r="A31" s="159" t="s">
        <v>62</v>
      </c>
      <c r="B31" s="164">
        <f>+(VLOOKUP(A31,'Ejercicio 1'!$M$40:$R$80,2,FALSE))*VLOOKUP(A31,'Ejercicio 1'!$E$40:$I$80,4,FALSE)</f>
        <v>52025.1</v>
      </c>
      <c r="C31" s="61" t="str">
        <f>+VLOOKUP(A31,'Ejercicio 1'!$E$40:$I$80,5,FALSE)</f>
        <v>u</v>
      </c>
      <c r="D31" s="160">
        <f>+(VLOOKUP(A31,'Ejercicio 1'!$M$40:$R$80,4,FALSE)+VLOOKUP(A31,'Ejercicio 1'!$M$40:$R$80,5,FALSE))*VLOOKUP(A31,'Ejercicio 1'!$E$40:$I$80,4,FALSE)/11</f>
        <v>4729.5545454545454</v>
      </c>
      <c r="E31" s="168">
        <v>3</v>
      </c>
      <c r="F31" s="199">
        <f>11000+G31</f>
        <v>28341.7</v>
      </c>
      <c r="G31" s="200">
        <f t="shared" si="49"/>
        <v>17341.7</v>
      </c>
      <c r="H31" s="199">
        <f t="shared" si="14"/>
        <v>23612.145454545454</v>
      </c>
      <c r="I31" s="200"/>
      <c r="J31" s="199">
        <f t="shared" si="1"/>
        <v>18882.590909090908</v>
      </c>
      <c r="K31" s="200"/>
      <c r="L31" s="199">
        <f t="shared" si="2"/>
        <v>14153.036363636362</v>
      </c>
      <c r="M31" s="200"/>
      <c r="N31" s="199">
        <f t="shared" si="3"/>
        <v>9423.4818181818155</v>
      </c>
      <c r="O31" s="200"/>
      <c r="P31" s="199">
        <f t="shared" si="5"/>
        <v>22035.62727272727</v>
      </c>
      <c r="Q31" s="200">
        <f t="shared" si="50"/>
        <v>17341.7</v>
      </c>
      <c r="R31" s="199">
        <f t="shared" si="6"/>
        <v>17306.072727272724</v>
      </c>
      <c r="S31" s="200"/>
      <c r="T31" s="199">
        <f t="shared" si="8"/>
        <v>12576.518181818177</v>
      </c>
      <c r="U31" s="200"/>
      <c r="V31" s="199">
        <f t="shared" si="9"/>
        <v>7846.9636363636318</v>
      </c>
      <c r="W31" s="200"/>
      <c r="X31" s="199">
        <f t="shared" si="10"/>
        <v>3117.4090909090864</v>
      </c>
      <c r="Y31" s="200"/>
      <c r="Z31" s="199">
        <f t="shared" si="12"/>
        <v>15729.554545454539</v>
      </c>
      <c r="AA31" s="200">
        <f t="shared" si="51"/>
        <v>17341.7</v>
      </c>
      <c r="AB31" s="199">
        <f t="shared" si="12"/>
        <v>10999.999999999993</v>
      </c>
      <c r="AC31" s="200"/>
      <c r="AD31" s="125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  <c r="IV31" s="123"/>
      <c r="IW31" s="123"/>
      <c r="IX31" s="123"/>
      <c r="IY31" s="123"/>
      <c r="IZ31" s="123"/>
      <c r="JA31" s="123"/>
      <c r="JB31" s="123"/>
      <c r="JC31" s="123"/>
      <c r="JD31" s="123"/>
      <c r="JE31" s="123"/>
      <c r="JF31" s="123"/>
      <c r="JG31" s="123"/>
      <c r="JH31" s="123"/>
      <c r="JI31" s="123"/>
      <c r="JJ31" s="123"/>
      <c r="JK31" s="123"/>
      <c r="JL31" s="123"/>
      <c r="JM31" s="123"/>
      <c r="JN31" s="123"/>
      <c r="JO31" s="123"/>
      <c r="JP31" s="123"/>
      <c r="JQ31" s="123"/>
      <c r="JR31" s="123"/>
      <c r="JS31" s="123"/>
      <c r="JT31" s="123"/>
      <c r="JU31" s="123"/>
      <c r="JV31" s="123"/>
      <c r="JW31" s="123"/>
      <c r="JX31" s="123"/>
      <c r="JY31" s="123"/>
      <c r="JZ31" s="123"/>
      <c r="KA31" s="123"/>
      <c r="KB31" s="123"/>
      <c r="KC31" s="123"/>
      <c r="KD31" s="123"/>
      <c r="KE31" s="123"/>
      <c r="KF31" s="123"/>
      <c r="KG31" s="123"/>
      <c r="KH31" s="123"/>
      <c r="KI31" s="123"/>
      <c r="KJ31" s="123"/>
      <c r="KK31" s="123"/>
      <c r="KL31" s="123"/>
      <c r="KM31" s="123"/>
      <c r="KN31" s="123"/>
      <c r="KO31" s="123"/>
      <c r="KP31" s="123"/>
      <c r="KQ31" s="123"/>
      <c r="KR31" s="123"/>
      <c r="KS31" s="123"/>
      <c r="KT31" s="123"/>
      <c r="KU31" s="123"/>
      <c r="KV31" s="123"/>
      <c r="KW31" s="123"/>
      <c r="KX31" s="123"/>
      <c r="KY31" s="123"/>
      <c r="KZ31" s="123"/>
      <c r="LA31" s="123"/>
      <c r="LB31" s="123"/>
      <c r="LC31" s="123"/>
      <c r="LD31" s="123"/>
      <c r="LE31" s="123"/>
      <c r="LF31" s="123"/>
      <c r="LG31" s="123"/>
      <c r="LH31" s="123"/>
      <c r="LI31" s="123"/>
      <c r="LJ31" s="123"/>
      <c r="LK31" s="123"/>
      <c r="LL31" s="123"/>
      <c r="LM31" s="123"/>
      <c r="LN31" s="123"/>
      <c r="LO31" s="123"/>
      <c r="LP31" s="123"/>
      <c r="LQ31" s="123"/>
      <c r="LR31" s="123"/>
      <c r="LS31" s="123"/>
      <c r="LT31" s="123"/>
      <c r="LU31" s="123"/>
      <c r="LV31" s="123"/>
      <c r="LW31" s="123"/>
      <c r="LX31" s="123"/>
      <c r="LY31" s="123"/>
      <c r="LZ31" s="123"/>
      <c r="MA31" s="123"/>
      <c r="MB31" s="123"/>
      <c r="MC31" s="123"/>
      <c r="MD31" s="123"/>
      <c r="ME31" s="123"/>
      <c r="MF31" s="123"/>
      <c r="MG31" s="123"/>
      <c r="MH31" s="123"/>
      <c r="MI31" s="123"/>
      <c r="MJ31" s="123"/>
      <c r="MK31" s="123"/>
      <c r="ML31" s="123"/>
      <c r="MM31" s="123"/>
      <c r="MN31" s="123"/>
      <c r="MO31" s="123"/>
      <c r="MP31" s="123"/>
      <c r="MQ31" s="123"/>
      <c r="MR31" s="123"/>
      <c r="MS31" s="123"/>
      <c r="MT31" s="123"/>
      <c r="MU31" s="123"/>
      <c r="MV31" s="123"/>
      <c r="MW31" s="123"/>
      <c r="MX31" s="123"/>
      <c r="MY31" s="123"/>
      <c r="MZ31" s="123"/>
      <c r="NA31" s="123"/>
      <c r="NB31" s="123"/>
      <c r="NC31" s="123"/>
      <c r="ND31" s="123"/>
      <c r="NE31" s="123"/>
      <c r="NF31" s="123"/>
      <c r="NG31" s="123"/>
      <c r="NH31" s="123"/>
      <c r="NI31" s="123"/>
      <c r="NJ31" s="123"/>
      <c r="NK31" s="123"/>
      <c r="NL31" s="123"/>
      <c r="NM31" s="123"/>
      <c r="NN31" s="123"/>
      <c r="NO31" s="123"/>
      <c r="NP31" s="123"/>
      <c r="NQ31" s="123"/>
      <c r="NR31" s="123"/>
      <c r="NS31" s="123"/>
      <c r="NT31" s="123"/>
      <c r="NU31" s="123"/>
      <c r="NV31" s="123"/>
      <c r="NW31" s="123"/>
      <c r="NX31" s="123"/>
      <c r="NY31" s="123"/>
      <c r="NZ31" s="123"/>
      <c r="OA31" s="123"/>
      <c r="OB31" s="123"/>
      <c r="OC31" s="123"/>
      <c r="OD31" s="123"/>
      <c r="OE31" s="123"/>
      <c r="OF31" s="123"/>
      <c r="OG31" s="123"/>
      <c r="OH31" s="123"/>
      <c r="OI31" s="123"/>
      <c r="OJ31" s="123"/>
      <c r="OK31" s="123"/>
      <c r="OL31" s="123"/>
      <c r="OM31" s="123"/>
      <c r="ON31" s="123"/>
      <c r="OO31" s="123"/>
      <c r="OP31" s="123"/>
      <c r="OQ31" s="123"/>
      <c r="OR31" s="123"/>
      <c r="OS31" s="123"/>
      <c r="OT31" s="123"/>
      <c r="OU31" s="123"/>
      <c r="OV31" s="123"/>
      <c r="OW31" s="123"/>
      <c r="OX31" s="123"/>
      <c r="OY31" s="123"/>
      <c r="OZ31" s="123"/>
      <c r="PA31" s="123"/>
      <c r="PB31" s="123"/>
      <c r="PC31" s="123"/>
      <c r="PD31" s="123"/>
      <c r="PE31" s="123"/>
      <c r="PF31" s="123"/>
      <c r="PG31" s="123"/>
      <c r="PH31" s="123"/>
      <c r="PI31" s="123"/>
      <c r="PJ31" s="123"/>
      <c r="PK31" s="123"/>
      <c r="PL31" s="123"/>
      <c r="PM31" s="123"/>
      <c r="PN31" s="123"/>
      <c r="PO31" s="123"/>
      <c r="PP31" s="123"/>
      <c r="PQ31" s="123"/>
      <c r="PR31" s="123"/>
      <c r="PS31" s="123"/>
      <c r="PT31" s="123"/>
      <c r="PU31" s="123"/>
      <c r="PV31" s="123"/>
      <c r="PW31" s="123"/>
      <c r="PX31" s="123"/>
      <c r="PY31" s="123"/>
      <c r="PZ31" s="123"/>
      <c r="QA31" s="123"/>
      <c r="QB31" s="123"/>
      <c r="QC31" s="123"/>
      <c r="QD31" s="123"/>
      <c r="QE31" s="123"/>
      <c r="QF31" s="123"/>
      <c r="QG31" s="123"/>
    </row>
    <row r="32" spans="1:449" s="156" customFormat="1" x14ac:dyDescent="0.25">
      <c r="A32" s="159" t="s">
        <v>67</v>
      </c>
      <c r="B32" s="164">
        <f>+(VLOOKUP(A32,'Ejercicio 1'!$M$40:$R$80,2,FALSE))*VLOOKUP(A32,'Ejercicio 1'!$E$40:$I$80,4,FALSE)</f>
        <v>51510</v>
      </c>
      <c r="C32" s="61" t="str">
        <f>+VLOOKUP(A32,'Ejercicio 1'!$E$40:$I$80,5,FALSE)</f>
        <v>u</v>
      </c>
      <c r="D32" s="160">
        <f>+(VLOOKUP(A32,'Ejercicio 1'!$M$40:$R$80,4,FALSE)+VLOOKUP(A32,'Ejercicio 1'!$M$40:$R$80,5,FALSE))*VLOOKUP(A32,'Ejercicio 1'!$E$40:$I$80,4,FALSE)/11</f>
        <v>4682.727272727273</v>
      </c>
      <c r="E32" s="168">
        <v>3</v>
      </c>
      <c r="F32" s="199">
        <f>11000+G32</f>
        <v>28170</v>
      </c>
      <c r="G32" s="200">
        <f t="shared" si="49"/>
        <v>17170</v>
      </c>
      <c r="H32" s="199">
        <f t="shared" si="14"/>
        <v>23487.272727272728</v>
      </c>
      <c r="I32" s="200"/>
      <c r="J32" s="199">
        <f t="shared" si="1"/>
        <v>18804.545454545456</v>
      </c>
      <c r="K32" s="200"/>
      <c r="L32" s="199">
        <f t="shared" si="2"/>
        <v>14121.818181818184</v>
      </c>
      <c r="M32" s="200"/>
      <c r="N32" s="199">
        <f t="shared" si="3"/>
        <v>9439.0909090909117</v>
      </c>
      <c r="O32" s="200"/>
      <c r="P32" s="199">
        <f t="shared" si="5"/>
        <v>21926.36363636364</v>
      </c>
      <c r="Q32" s="200">
        <f t="shared" si="50"/>
        <v>17170</v>
      </c>
      <c r="R32" s="199">
        <f t="shared" si="6"/>
        <v>17243.636363636368</v>
      </c>
      <c r="S32" s="200"/>
      <c r="T32" s="199">
        <f t="shared" si="8"/>
        <v>12560.909090909096</v>
      </c>
      <c r="U32" s="200"/>
      <c r="V32" s="199">
        <f t="shared" si="9"/>
        <v>7878.1818181818226</v>
      </c>
      <c r="W32" s="200"/>
      <c r="X32" s="199">
        <f t="shared" si="10"/>
        <v>3195.4545454545496</v>
      </c>
      <c r="Y32" s="200"/>
      <c r="Z32" s="199">
        <f t="shared" si="12"/>
        <v>15682.727272727279</v>
      </c>
      <c r="AA32" s="200">
        <f t="shared" si="51"/>
        <v>17170</v>
      </c>
      <c r="AB32" s="199">
        <f t="shared" si="12"/>
        <v>11000.000000000007</v>
      </c>
      <c r="AC32" s="200"/>
      <c r="AD32" s="125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  <c r="IW32" s="123"/>
      <c r="IX32" s="123"/>
      <c r="IY32" s="123"/>
      <c r="IZ32" s="123"/>
      <c r="JA32" s="123"/>
      <c r="JB32" s="123"/>
      <c r="JC32" s="123"/>
      <c r="JD32" s="123"/>
      <c r="JE32" s="123"/>
      <c r="JF32" s="123"/>
      <c r="JG32" s="123"/>
      <c r="JH32" s="123"/>
      <c r="JI32" s="123"/>
      <c r="JJ32" s="123"/>
      <c r="JK32" s="123"/>
      <c r="JL32" s="123"/>
      <c r="JM32" s="123"/>
      <c r="JN32" s="123"/>
      <c r="JO32" s="123"/>
      <c r="JP32" s="123"/>
      <c r="JQ32" s="123"/>
      <c r="JR32" s="123"/>
      <c r="JS32" s="123"/>
      <c r="JT32" s="123"/>
      <c r="JU32" s="123"/>
      <c r="JV32" s="123"/>
      <c r="JW32" s="123"/>
      <c r="JX32" s="123"/>
      <c r="JY32" s="123"/>
      <c r="JZ32" s="123"/>
      <c r="KA32" s="123"/>
      <c r="KB32" s="123"/>
      <c r="KC32" s="123"/>
      <c r="KD32" s="123"/>
      <c r="KE32" s="123"/>
      <c r="KF32" s="123"/>
      <c r="KG32" s="123"/>
      <c r="KH32" s="123"/>
      <c r="KI32" s="123"/>
      <c r="KJ32" s="123"/>
      <c r="KK32" s="123"/>
      <c r="KL32" s="123"/>
      <c r="KM32" s="123"/>
      <c r="KN32" s="123"/>
      <c r="KO32" s="123"/>
      <c r="KP32" s="123"/>
      <c r="KQ32" s="123"/>
      <c r="KR32" s="123"/>
      <c r="KS32" s="123"/>
      <c r="KT32" s="123"/>
      <c r="KU32" s="123"/>
      <c r="KV32" s="123"/>
      <c r="KW32" s="123"/>
      <c r="KX32" s="123"/>
      <c r="KY32" s="123"/>
      <c r="KZ32" s="123"/>
      <c r="LA32" s="123"/>
      <c r="LB32" s="123"/>
      <c r="LC32" s="123"/>
      <c r="LD32" s="123"/>
      <c r="LE32" s="123"/>
      <c r="LF32" s="123"/>
      <c r="LG32" s="123"/>
      <c r="LH32" s="123"/>
      <c r="LI32" s="123"/>
      <c r="LJ32" s="123"/>
      <c r="LK32" s="123"/>
      <c r="LL32" s="123"/>
      <c r="LM32" s="123"/>
      <c r="LN32" s="123"/>
      <c r="LO32" s="123"/>
      <c r="LP32" s="123"/>
      <c r="LQ32" s="123"/>
      <c r="LR32" s="123"/>
      <c r="LS32" s="123"/>
      <c r="LT32" s="123"/>
      <c r="LU32" s="123"/>
      <c r="LV32" s="123"/>
      <c r="LW32" s="123"/>
      <c r="LX32" s="123"/>
      <c r="LY32" s="123"/>
      <c r="LZ32" s="123"/>
      <c r="MA32" s="123"/>
      <c r="MB32" s="123"/>
      <c r="MC32" s="123"/>
      <c r="MD32" s="123"/>
      <c r="ME32" s="123"/>
      <c r="MF32" s="123"/>
      <c r="MG32" s="123"/>
      <c r="MH32" s="123"/>
      <c r="MI32" s="123"/>
      <c r="MJ32" s="123"/>
      <c r="MK32" s="123"/>
      <c r="ML32" s="123"/>
      <c r="MM32" s="123"/>
      <c r="MN32" s="123"/>
      <c r="MO32" s="123"/>
      <c r="MP32" s="123"/>
      <c r="MQ32" s="123"/>
      <c r="MR32" s="123"/>
      <c r="MS32" s="123"/>
      <c r="MT32" s="123"/>
      <c r="MU32" s="123"/>
      <c r="MV32" s="123"/>
      <c r="MW32" s="123"/>
      <c r="MX32" s="123"/>
      <c r="MY32" s="123"/>
      <c r="MZ32" s="123"/>
      <c r="NA32" s="123"/>
      <c r="NB32" s="123"/>
      <c r="NC32" s="123"/>
      <c r="ND32" s="123"/>
      <c r="NE32" s="123"/>
      <c r="NF32" s="123"/>
      <c r="NG32" s="123"/>
      <c r="NH32" s="123"/>
      <c r="NI32" s="123"/>
      <c r="NJ32" s="123"/>
      <c r="NK32" s="123"/>
      <c r="NL32" s="123"/>
      <c r="NM32" s="123"/>
      <c r="NN32" s="123"/>
      <c r="NO32" s="123"/>
      <c r="NP32" s="123"/>
      <c r="NQ32" s="123"/>
      <c r="NR32" s="123"/>
      <c r="NS32" s="123"/>
      <c r="NT32" s="123"/>
      <c r="NU32" s="123"/>
      <c r="NV32" s="123"/>
      <c r="NW32" s="123"/>
      <c r="NX32" s="123"/>
      <c r="NY32" s="123"/>
      <c r="NZ32" s="123"/>
      <c r="OA32" s="123"/>
      <c r="OB32" s="123"/>
      <c r="OC32" s="123"/>
      <c r="OD32" s="123"/>
      <c r="OE32" s="123"/>
      <c r="OF32" s="123"/>
      <c r="OG32" s="123"/>
      <c r="OH32" s="123"/>
      <c r="OI32" s="123"/>
      <c r="OJ32" s="123"/>
      <c r="OK32" s="123"/>
      <c r="OL32" s="123"/>
      <c r="OM32" s="123"/>
      <c r="ON32" s="123"/>
      <c r="OO32" s="123"/>
      <c r="OP32" s="123"/>
      <c r="OQ32" s="123"/>
      <c r="OR32" s="123"/>
      <c r="OS32" s="123"/>
      <c r="OT32" s="123"/>
      <c r="OU32" s="123"/>
      <c r="OV32" s="123"/>
      <c r="OW32" s="123"/>
      <c r="OX32" s="123"/>
      <c r="OY32" s="123"/>
      <c r="OZ32" s="123"/>
      <c r="PA32" s="123"/>
      <c r="PB32" s="123"/>
      <c r="PC32" s="123"/>
      <c r="PD32" s="123"/>
      <c r="PE32" s="123"/>
      <c r="PF32" s="123"/>
      <c r="PG32" s="123"/>
      <c r="PH32" s="123"/>
      <c r="PI32" s="123"/>
      <c r="PJ32" s="123"/>
      <c r="PK32" s="123"/>
      <c r="PL32" s="123"/>
      <c r="PM32" s="123"/>
      <c r="PN32" s="123"/>
      <c r="PO32" s="123"/>
      <c r="PP32" s="123"/>
      <c r="PQ32" s="123"/>
      <c r="PR32" s="123"/>
      <c r="PS32" s="123"/>
      <c r="PT32" s="123"/>
      <c r="PU32" s="123"/>
      <c r="PV32" s="123"/>
      <c r="PW32" s="123"/>
      <c r="PX32" s="123"/>
      <c r="PY32" s="123"/>
      <c r="PZ32" s="123"/>
      <c r="QA32" s="123"/>
      <c r="QB32" s="123"/>
      <c r="QC32" s="123"/>
      <c r="QD32" s="123"/>
      <c r="QE32" s="123"/>
      <c r="QF32" s="123"/>
      <c r="QG32" s="123"/>
    </row>
    <row r="33" spans="1:449" s="156" customFormat="1" ht="30" x14ac:dyDescent="0.25">
      <c r="A33" s="159" t="s">
        <v>58</v>
      </c>
      <c r="B33" s="164">
        <f>+(VLOOKUP(A33,'Ejercicio 1'!$M$40:$R$80,2,FALSE))*VLOOKUP(A33,'Ejercicio 1'!$E$40:$I$80,4,FALSE)</f>
        <v>714052.49999999977</v>
      </c>
      <c r="C33" s="61" t="str">
        <f>+VLOOKUP(A33,'Ejercicio 1'!$E$40:$I$80,5,FALSE)</f>
        <v>u</v>
      </c>
      <c r="D33" s="160">
        <f>+(VLOOKUP(A33,'Ejercicio 1'!$M$40:$R$80,4,FALSE)+VLOOKUP(A33,'Ejercicio 1'!$M$40:$R$80,5,FALSE))*VLOOKUP(A33,'Ejercicio 1'!$E$40:$I$80,4,FALSE)/11</f>
        <v>64274.318181818184</v>
      </c>
      <c r="E33" s="168">
        <v>2</v>
      </c>
      <c r="F33" s="199">
        <f>120000+G33</f>
        <v>120000</v>
      </c>
      <c r="G33" s="200"/>
      <c r="H33" s="199">
        <f t="shared" si="14"/>
        <v>55725.681818181816</v>
      </c>
      <c r="I33" s="200"/>
      <c r="J33" s="199">
        <f t="shared" si="1"/>
        <v>348477.61363636353</v>
      </c>
      <c r="K33" s="200">
        <f t="shared" ref="K33:K35" si="52">+$B33/$E33</f>
        <v>357026.24999999988</v>
      </c>
      <c r="L33" s="199">
        <f t="shared" si="2"/>
        <v>284203.29545454535</v>
      </c>
      <c r="M33" s="200"/>
      <c r="N33" s="199">
        <f t="shared" si="3"/>
        <v>219928.97727272718</v>
      </c>
      <c r="O33" s="200"/>
      <c r="P33" s="199">
        <f t="shared" si="5"/>
        <v>155654.659090909</v>
      </c>
      <c r="Q33" s="200"/>
      <c r="R33" s="199">
        <f t="shared" si="6"/>
        <v>91380.340909090824</v>
      </c>
      <c r="S33" s="200"/>
      <c r="T33" s="199">
        <f t="shared" si="8"/>
        <v>384132.27272727253</v>
      </c>
      <c r="U33" s="200">
        <f t="shared" ref="U33:U35" si="53">+$B33/$E33</f>
        <v>357026.24999999988</v>
      </c>
      <c r="V33" s="199">
        <f t="shared" si="9"/>
        <v>319857.95454545435</v>
      </c>
      <c r="W33" s="200"/>
      <c r="X33" s="199">
        <f t="shared" si="10"/>
        <v>255583.63636363618</v>
      </c>
      <c r="Y33" s="200"/>
      <c r="Z33" s="199">
        <f t="shared" si="12"/>
        <v>191309.318181818</v>
      </c>
      <c r="AA33" s="200"/>
      <c r="AB33" s="199">
        <f t="shared" si="12"/>
        <v>127034.99999999983</v>
      </c>
      <c r="AC33" s="200"/>
      <c r="AD33" s="125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3"/>
      <c r="IZ33" s="123"/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3"/>
      <c r="JO33" s="123"/>
      <c r="JP33" s="123"/>
      <c r="JQ33" s="123"/>
      <c r="JR33" s="123"/>
      <c r="JS33" s="123"/>
      <c r="JT33" s="123"/>
      <c r="JU33" s="123"/>
      <c r="JV33" s="123"/>
      <c r="JW33" s="123"/>
      <c r="JX33" s="123"/>
      <c r="JY33" s="123"/>
      <c r="JZ33" s="123"/>
      <c r="KA33" s="123"/>
      <c r="KB33" s="123"/>
      <c r="KC33" s="123"/>
      <c r="KD33" s="123"/>
      <c r="KE33" s="123"/>
      <c r="KF33" s="123"/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3"/>
      <c r="KU33" s="123"/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3"/>
      <c r="LJ33" s="123"/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3"/>
      <c r="LY33" s="123"/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3"/>
      <c r="MN33" s="123"/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3"/>
      <c r="NC33" s="123"/>
      <c r="ND33" s="123"/>
      <c r="NE33" s="123"/>
      <c r="NF33" s="123"/>
      <c r="NG33" s="123"/>
      <c r="NH33" s="123"/>
      <c r="NI33" s="123"/>
      <c r="NJ33" s="123"/>
      <c r="NK33" s="123"/>
      <c r="NL33" s="123"/>
      <c r="NM33" s="123"/>
      <c r="NN33" s="123"/>
      <c r="NO33" s="123"/>
      <c r="NP33" s="123"/>
      <c r="NQ33" s="123"/>
      <c r="NR33" s="123"/>
      <c r="NS33" s="123"/>
      <c r="NT33" s="123"/>
      <c r="NU33" s="123"/>
      <c r="NV33" s="123"/>
      <c r="NW33" s="123"/>
      <c r="NX33" s="123"/>
      <c r="NY33" s="123"/>
      <c r="NZ33" s="123"/>
      <c r="OA33" s="123"/>
      <c r="OB33" s="123"/>
      <c r="OC33" s="123"/>
      <c r="OD33" s="123"/>
      <c r="OE33" s="123"/>
      <c r="OF33" s="123"/>
      <c r="OG33" s="123"/>
      <c r="OH33" s="123"/>
      <c r="OI33" s="123"/>
      <c r="OJ33" s="123"/>
      <c r="OK33" s="123"/>
      <c r="OL33" s="123"/>
      <c r="OM33" s="123"/>
      <c r="ON33" s="123"/>
      <c r="OO33" s="123"/>
      <c r="OP33" s="123"/>
      <c r="OQ33" s="123"/>
      <c r="OR33" s="123"/>
      <c r="OS33" s="123"/>
      <c r="OT33" s="123"/>
      <c r="OU33" s="123"/>
      <c r="OV33" s="123"/>
      <c r="OW33" s="123"/>
      <c r="OX33" s="123"/>
      <c r="OY33" s="123"/>
      <c r="OZ33" s="123"/>
      <c r="PA33" s="123"/>
      <c r="PB33" s="123"/>
      <c r="PC33" s="123"/>
      <c r="PD33" s="123"/>
      <c r="PE33" s="123"/>
      <c r="PF33" s="123"/>
      <c r="PG33" s="123"/>
      <c r="PH33" s="123"/>
      <c r="PI33" s="123"/>
      <c r="PJ33" s="123"/>
      <c r="PK33" s="123"/>
      <c r="PL33" s="123"/>
      <c r="PM33" s="123"/>
      <c r="PN33" s="123"/>
      <c r="PO33" s="123"/>
      <c r="PP33" s="123"/>
      <c r="PQ33" s="123"/>
      <c r="PR33" s="123"/>
      <c r="PS33" s="123"/>
      <c r="PT33" s="123"/>
      <c r="PU33" s="123"/>
      <c r="PV33" s="123"/>
      <c r="PW33" s="123"/>
      <c r="PX33" s="123"/>
      <c r="PY33" s="123"/>
      <c r="PZ33" s="123"/>
      <c r="QA33" s="123"/>
      <c r="QB33" s="123"/>
      <c r="QC33" s="123"/>
      <c r="QD33" s="123"/>
      <c r="QE33" s="123"/>
      <c r="QF33" s="123"/>
      <c r="QG33" s="123"/>
    </row>
    <row r="34" spans="1:449" s="156" customFormat="1" ht="30" x14ac:dyDescent="0.25">
      <c r="A34" s="159" t="s">
        <v>56</v>
      </c>
      <c r="B34" s="164">
        <f>+(VLOOKUP(A34,'Ejercicio 1'!$M$40:$R$80,2,FALSE))*VLOOKUP(A34,'Ejercicio 1'!$E$40:$I$80,4,FALSE)</f>
        <v>204014.99999999994</v>
      </c>
      <c r="C34" s="61" t="str">
        <f>+VLOOKUP(A34,'Ejercicio 1'!$E$40:$I$80,5,FALSE)</f>
        <v>u</v>
      </c>
      <c r="D34" s="160">
        <f>+(VLOOKUP(A34,'Ejercicio 1'!$M$40:$R$80,4,FALSE)+VLOOKUP(A34,'Ejercicio 1'!$M$40:$R$80,5,FALSE))*VLOOKUP(A34,'Ejercicio 1'!$E$40:$I$80,4,FALSE)/11</f>
        <v>18364.090909090908</v>
      </c>
      <c r="E34" s="168">
        <v>2</v>
      </c>
      <c r="F34" s="199">
        <f>33000+G34</f>
        <v>33000</v>
      </c>
      <c r="G34" s="200"/>
      <c r="H34" s="199">
        <f t="shared" si="14"/>
        <v>14635.909090909092</v>
      </c>
      <c r="I34" s="200"/>
      <c r="J34" s="199">
        <f t="shared" si="1"/>
        <v>98279.318181818147</v>
      </c>
      <c r="K34" s="200">
        <f t="shared" si="52"/>
        <v>102007.49999999997</v>
      </c>
      <c r="L34" s="199">
        <f t="shared" si="2"/>
        <v>79915.227272727236</v>
      </c>
      <c r="M34" s="200"/>
      <c r="N34" s="199">
        <f t="shared" si="3"/>
        <v>61551.136363636324</v>
      </c>
      <c r="O34" s="200"/>
      <c r="P34" s="199">
        <f t="shared" si="5"/>
        <v>43187.045454545412</v>
      </c>
      <c r="Q34" s="200"/>
      <c r="R34" s="199">
        <f t="shared" si="6"/>
        <v>24822.954545454504</v>
      </c>
      <c r="S34" s="200"/>
      <c r="T34" s="199">
        <f t="shared" si="8"/>
        <v>108466.36363636356</v>
      </c>
      <c r="U34" s="200">
        <f t="shared" si="53"/>
        <v>102007.49999999997</v>
      </c>
      <c r="V34" s="199">
        <f t="shared" si="9"/>
        <v>90102.272727272648</v>
      </c>
      <c r="W34" s="200"/>
      <c r="X34" s="199">
        <f t="shared" si="10"/>
        <v>71738.181818181736</v>
      </c>
      <c r="Y34" s="200"/>
      <c r="Z34" s="199">
        <f t="shared" si="12"/>
        <v>53374.090909090824</v>
      </c>
      <c r="AA34" s="200"/>
      <c r="AB34" s="199">
        <f t="shared" si="12"/>
        <v>35009.999999999913</v>
      </c>
      <c r="AC34" s="200"/>
      <c r="AD34" s="125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3"/>
      <c r="IZ34" s="123"/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3"/>
      <c r="JO34" s="123"/>
      <c r="JP34" s="123"/>
      <c r="JQ34" s="123"/>
      <c r="JR34" s="123"/>
      <c r="JS34" s="123"/>
      <c r="JT34" s="123"/>
      <c r="JU34" s="123"/>
      <c r="JV34" s="123"/>
      <c r="JW34" s="123"/>
      <c r="JX34" s="123"/>
      <c r="JY34" s="123"/>
      <c r="JZ34" s="123"/>
      <c r="KA34" s="123"/>
      <c r="KB34" s="123"/>
      <c r="KC34" s="123"/>
      <c r="KD34" s="123"/>
      <c r="KE34" s="123"/>
      <c r="KF34" s="123"/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3"/>
      <c r="KU34" s="123"/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3"/>
      <c r="LJ34" s="123"/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3"/>
      <c r="LY34" s="123"/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3"/>
      <c r="MN34" s="123"/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3"/>
      <c r="NC34" s="123"/>
      <c r="ND34" s="123"/>
      <c r="NE34" s="123"/>
      <c r="NF34" s="123"/>
      <c r="NG34" s="123"/>
      <c r="NH34" s="123"/>
      <c r="NI34" s="123"/>
      <c r="NJ34" s="123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3"/>
      <c r="NY34" s="123"/>
      <c r="NZ34" s="123"/>
      <c r="OA34" s="123"/>
      <c r="OB34" s="123"/>
      <c r="OC34" s="123"/>
      <c r="OD34" s="123"/>
      <c r="OE34" s="123"/>
      <c r="OF34" s="123"/>
      <c r="OG34" s="123"/>
      <c r="OH34" s="123"/>
      <c r="OI34" s="123"/>
      <c r="OJ34" s="123"/>
      <c r="OK34" s="123"/>
      <c r="OL34" s="123"/>
      <c r="OM34" s="123"/>
      <c r="ON34" s="123"/>
      <c r="OO34" s="123"/>
      <c r="OP34" s="123"/>
      <c r="OQ34" s="123"/>
      <c r="OR34" s="123"/>
      <c r="OS34" s="123"/>
      <c r="OT34" s="123"/>
      <c r="OU34" s="123"/>
      <c r="OV34" s="123"/>
      <c r="OW34" s="123"/>
      <c r="OX34" s="123"/>
      <c r="OY34" s="123"/>
      <c r="OZ34" s="123"/>
      <c r="PA34" s="123"/>
      <c r="PB34" s="123"/>
      <c r="PC34" s="123"/>
      <c r="PD34" s="123"/>
      <c r="PE34" s="123"/>
      <c r="PF34" s="123"/>
      <c r="PG34" s="123"/>
      <c r="PH34" s="123"/>
      <c r="PI34" s="123"/>
      <c r="PJ34" s="123"/>
      <c r="PK34" s="123"/>
      <c r="PL34" s="123"/>
      <c r="PM34" s="123"/>
      <c r="PN34" s="123"/>
      <c r="PO34" s="123"/>
      <c r="PP34" s="123"/>
      <c r="PQ34" s="123"/>
      <c r="PR34" s="123"/>
      <c r="PS34" s="123"/>
      <c r="PT34" s="123"/>
      <c r="PU34" s="123"/>
      <c r="PV34" s="123"/>
      <c r="PW34" s="123"/>
      <c r="PX34" s="123"/>
      <c r="PY34" s="123"/>
      <c r="PZ34" s="123"/>
      <c r="QA34" s="123"/>
      <c r="QB34" s="123"/>
      <c r="QC34" s="123"/>
      <c r="QD34" s="123"/>
      <c r="QE34" s="123"/>
      <c r="QF34" s="123"/>
      <c r="QG34" s="123"/>
    </row>
    <row r="35" spans="1:449" s="156" customFormat="1" ht="30" x14ac:dyDescent="0.25">
      <c r="A35" s="159" t="s">
        <v>78</v>
      </c>
      <c r="B35" s="164">
        <f>+(VLOOKUP(A35,'Ejercicio 1'!$M$40:$R$80,2,FALSE))*VLOOKUP(A35,'Ejercicio 1'!$E$40:$I$80,4,FALSE)</f>
        <v>102007.49999999997</v>
      </c>
      <c r="C35" s="61" t="str">
        <f>+VLOOKUP(A35,'Ejercicio 1'!$E$40:$I$80,5,FALSE)</f>
        <v>u</v>
      </c>
      <c r="D35" s="160">
        <f>+(VLOOKUP(A35,'Ejercicio 1'!$M$40:$R$80,4,FALSE)+VLOOKUP(A35,'Ejercicio 1'!$M$40:$R$80,5,FALSE))*VLOOKUP(A35,'Ejercicio 1'!$E$40:$I$80,4,FALSE)/11</f>
        <v>9182.045454545454</v>
      </c>
      <c r="E35" s="168">
        <v>2</v>
      </c>
      <c r="F35" s="199">
        <f>20000+G35</f>
        <v>20000</v>
      </c>
      <c r="G35" s="200"/>
      <c r="H35" s="199">
        <f t="shared" si="14"/>
        <v>10817.954545454546</v>
      </c>
      <c r="I35" s="200"/>
      <c r="J35" s="199">
        <f t="shared" si="1"/>
        <v>52639.659090909074</v>
      </c>
      <c r="K35" s="200">
        <f t="shared" si="52"/>
        <v>51003.749999999985</v>
      </c>
      <c r="L35" s="199">
        <f t="shared" si="2"/>
        <v>43457.613636363618</v>
      </c>
      <c r="M35" s="200"/>
      <c r="N35" s="199">
        <f t="shared" si="3"/>
        <v>34275.568181818162</v>
      </c>
      <c r="O35" s="200"/>
      <c r="P35" s="199">
        <f t="shared" si="5"/>
        <v>25093.522727272706</v>
      </c>
      <c r="Q35" s="200"/>
      <c r="R35" s="199">
        <f t="shared" si="6"/>
        <v>15911.477272727252</v>
      </c>
      <c r="S35" s="200"/>
      <c r="T35" s="199">
        <f t="shared" si="8"/>
        <v>57733.18181818178</v>
      </c>
      <c r="U35" s="200">
        <f t="shared" si="53"/>
        <v>51003.749999999985</v>
      </c>
      <c r="V35" s="199">
        <f t="shared" si="9"/>
        <v>48551.136363636324</v>
      </c>
      <c r="W35" s="200"/>
      <c r="X35" s="199">
        <f t="shared" si="10"/>
        <v>39369.090909090868</v>
      </c>
      <c r="Y35" s="200"/>
      <c r="Z35" s="199">
        <f t="shared" si="12"/>
        <v>30187.045454545412</v>
      </c>
      <c r="AA35" s="200"/>
      <c r="AB35" s="199">
        <f t="shared" si="12"/>
        <v>21004.999999999956</v>
      </c>
      <c r="AC35" s="200"/>
      <c r="AD35" s="125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  <c r="IV35" s="123"/>
      <c r="IW35" s="123"/>
      <c r="IX35" s="123"/>
      <c r="IY35" s="123"/>
      <c r="IZ35" s="123"/>
      <c r="JA35" s="123"/>
      <c r="JB35" s="123"/>
      <c r="JC35" s="123"/>
      <c r="JD35" s="123"/>
      <c r="JE35" s="123"/>
      <c r="JF35" s="123"/>
      <c r="JG35" s="123"/>
      <c r="JH35" s="123"/>
      <c r="JI35" s="123"/>
      <c r="JJ35" s="123"/>
      <c r="JK35" s="123"/>
      <c r="JL35" s="123"/>
      <c r="JM35" s="123"/>
      <c r="JN35" s="123"/>
      <c r="JO35" s="123"/>
      <c r="JP35" s="123"/>
      <c r="JQ35" s="123"/>
      <c r="JR35" s="123"/>
      <c r="JS35" s="123"/>
      <c r="JT35" s="123"/>
      <c r="JU35" s="123"/>
      <c r="JV35" s="123"/>
      <c r="JW35" s="123"/>
      <c r="JX35" s="123"/>
      <c r="JY35" s="123"/>
      <c r="JZ35" s="123"/>
      <c r="KA35" s="123"/>
      <c r="KB35" s="123"/>
      <c r="KC35" s="123"/>
      <c r="KD35" s="123"/>
      <c r="KE35" s="123"/>
      <c r="KF35" s="123"/>
      <c r="KG35" s="123"/>
      <c r="KH35" s="123"/>
      <c r="KI35" s="123"/>
      <c r="KJ35" s="123"/>
      <c r="KK35" s="123"/>
      <c r="KL35" s="123"/>
      <c r="KM35" s="123"/>
      <c r="KN35" s="123"/>
      <c r="KO35" s="123"/>
      <c r="KP35" s="123"/>
      <c r="KQ35" s="123"/>
      <c r="KR35" s="123"/>
      <c r="KS35" s="123"/>
      <c r="KT35" s="123"/>
      <c r="KU35" s="123"/>
      <c r="KV35" s="123"/>
      <c r="KW35" s="123"/>
      <c r="KX35" s="123"/>
      <c r="KY35" s="123"/>
      <c r="KZ35" s="123"/>
      <c r="LA35" s="123"/>
      <c r="LB35" s="123"/>
      <c r="LC35" s="123"/>
      <c r="LD35" s="123"/>
      <c r="LE35" s="123"/>
      <c r="LF35" s="123"/>
      <c r="LG35" s="123"/>
      <c r="LH35" s="123"/>
      <c r="LI35" s="123"/>
      <c r="LJ35" s="123"/>
      <c r="LK35" s="123"/>
      <c r="LL35" s="123"/>
      <c r="LM35" s="123"/>
      <c r="LN35" s="123"/>
      <c r="LO35" s="123"/>
      <c r="LP35" s="123"/>
      <c r="LQ35" s="123"/>
      <c r="LR35" s="123"/>
      <c r="LS35" s="123"/>
      <c r="LT35" s="123"/>
      <c r="LU35" s="123"/>
      <c r="LV35" s="123"/>
      <c r="LW35" s="123"/>
      <c r="LX35" s="123"/>
      <c r="LY35" s="123"/>
      <c r="LZ35" s="123"/>
      <c r="MA35" s="123"/>
      <c r="MB35" s="123"/>
      <c r="MC35" s="123"/>
      <c r="MD35" s="123"/>
      <c r="ME35" s="123"/>
      <c r="MF35" s="123"/>
      <c r="MG35" s="123"/>
      <c r="MH35" s="123"/>
      <c r="MI35" s="123"/>
      <c r="MJ35" s="123"/>
      <c r="MK35" s="123"/>
      <c r="ML35" s="123"/>
      <c r="MM35" s="123"/>
      <c r="MN35" s="123"/>
      <c r="MO35" s="123"/>
      <c r="MP35" s="123"/>
      <c r="MQ35" s="123"/>
      <c r="MR35" s="123"/>
      <c r="MS35" s="123"/>
      <c r="MT35" s="123"/>
      <c r="MU35" s="123"/>
      <c r="MV35" s="123"/>
      <c r="MW35" s="123"/>
      <c r="MX35" s="123"/>
      <c r="MY35" s="123"/>
      <c r="MZ35" s="123"/>
      <c r="NA35" s="123"/>
      <c r="NB35" s="123"/>
      <c r="NC35" s="123"/>
      <c r="ND35" s="123"/>
      <c r="NE35" s="123"/>
      <c r="NF35" s="123"/>
      <c r="NG35" s="123"/>
      <c r="NH35" s="123"/>
      <c r="NI35" s="123"/>
      <c r="NJ35" s="123"/>
      <c r="NK35" s="123"/>
      <c r="NL35" s="123"/>
      <c r="NM35" s="123"/>
      <c r="NN35" s="123"/>
      <c r="NO35" s="123"/>
      <c r="NP35" s="123"/>
      <c r="NQ35" s="123"/>
      <c r="NR35" s="123"/>
      <c r="NS35" s="123"/>
      <c r="NT35" s="123"/>
      <c r="NU35" s="123"/>
      <c r="NV35" s="123"/>
      <c r="NW35" s="123"/>
      <c r="NX35" s="123"/>
      <c r="NY35" s="123"/>
      <c r="NZ35" s="123"/>
      <c r="OA35" s="123"/>
      <c r="OB35" s="123"/>
      <c r="OC35" s="123"/>
      <c r="OD35" s="123"/>
      <c r="OE35" s="123"/>
      <c r="OF35" s="123"/>
      <c r="OG35" s="123"/>
      <c r="OH35" s="123"/>
      <c r="OI35" s="123"/>
      <c r="OJ35" s="123"/>
      <c r="OK35" s="123"/>
      <c r="OL35" s="123"/>
      <c r="OM35" s="123"/>
      <c r="ON35" s="123"/>
      <c r="OO35" s="123"/>
      <c r="OP35" s="123"/>
      <c r="OQ35" s="123"/>
      <c r="OR35" s="123"/>
      <c r="OS35" s="123"/>
      <c r="OT35" s="123"/>
      <c r="OU35" s="123"/>
      <c r="OV35" s="123"/>
      <c r="OW35" s="123"/>
      <c r="OX35" s="123"/>
      <c r="OY35" s="123"/>
      <c r="OZ35" s="123"/>
      <c r="PA35" s="123"/>
      <c r="PB35" s="123"/>
      <c r="PC35" s="123"/>
      <c r="PD35" s="123"/>
      <c r="PE35" s="123"/>
      <c r="PF35" s="123"/>
      <c r="PG35" s="123"/>
      <c r="PH35" s="123"/>
      <c r="PI35" s="123"/>
      <c r="PJ35" s="123"/>
      <c r="PK35" s="123"/>
      <c r="PL35" s="123"/>
      <c r="PM35" s="123"/>
      <c r="PN35" s="123"/>
      <c r="PO35" s="123"/>
      <c r="PP35" s="123"/>
      <c r="PQ35" s="123"/>
      <c r="PR35" s="123"/>
      <c r="PS35" s="123"/>
      <c r="PT35" s="123"/>
      <c r="PU35" s="123"/>
      <c r="PV35" s="123"/>
      <c r="PW35" s="123"/>
      <c r="PX35" s="123"/>
      <c r="PY35" s="123"/>
      <c r="PZ35" s="123"/>
      <c r="QA35" s="123"/>
      <c r="QB35" s="123"/>
      <c r="QC35" s="123"/>
      <c r="QD35" s="123"/>
      <c r="QE35" s="123"/>
      <c r="QF35" s="123"/>
      <c r="QG35" s="123"/>
    </row>
    <row r="36" spans="1:449" s="156" customFormat="1" ht="30" x14ac:dyDescent="0.25">
      <c r="A36" s="159" t="s">
        <v>77</v>
      </c>
      <c r="B36" s="164">
        <f>+(VLOOKUP(A36,'Ejercicio 1'!$M$40:$R$80,2,FALSE))*VLOOKUP(A36,'Ejercicio 1'!$E$40:$I$80,4,FALSE)</f>
        <v>51003.749999999985</v>
      </c>
      <c r="C36" s="61" t="str">
        <f>+VLOOKUP(A36,'Ejercicio 1'!$E$40:$I$80,5,FALSE)</f>
        <v>u</v>
      </c>
      <c r="D36" s="160">
        <f>+(VLOOKUP(A36,'Ejercicio 1'!$M$40:$R$80,4,FALSE)+VLOOKUP(A36,'Ejercicio 1'!$M$40:$R$80,5,FALSE))*VLOOKUP(A36,'Ejercicio 1'!$E$40:$I$80,4,FALSE)/11</f>
        <v>4591.022727272727</v>
      </c>
      <c r="E36" s="168">
        <v>3</v>
      </c>
      <c r="F36" s="199">
        <f>11000+G36</f>
        <v>28001.249999999996</v>
      </c>
      <c r="G36" s="200">
        <f t="shared" ref="G36" si="54">+$B36/$E36</f>
        <v>17001.249999999996</v>
      </c>
      <c r="H36" s="199">
        <f t="shared" si="14"/>
        <v>23410.227272727268</v>
      </c>
      <c r="I36" s="200"/>
      <c r="J36" s="199">
        <f t="shared" si="1"/>
        <v>18819.20454545454</v>
      </c>
      <c r="K36" s="200"/>
      <c r="L36" s="199">
        <f t="shared" si="2"/>
        <v>14228.181818181813</v>
      </c>
      <c r="M36" s="200"/>
      <c r="N36" s="199">
        <f t="shared" si="3"/>
        <v>9637.1590909090846</v>
      </c>
      <c r="O36" s="200"/>
      <c r="P36" s="199">
        <f t="shared" si="5"/>
        <v>22047.386363636353</v>
      </c>
      <c r="Q36" s="200">
        <f t="shared" ref="Q36" si="55">+$B36/$E36</f>
        <v>17001.249999999996</v>
      </c>
      <c r="R36" s="199">
        <f t="shared" si="6"/>
        <v>17456.363636363625</v>
      </c>
      <c r="S36" s="200"/>
      <c r="T36" s="199">
        <f t="shared" si="8"/>
        <v>12865.340909090897</v>
      </c>
      <c r="U36" s="200"/>
      <c r="V36" s="199">
        <f t="shared" si="9"/>
        <v>8274.3181818181693</v>
      </c>
      <c r="W36" s="200"/>
      <c r="X36" s="199">
        <f t="shared" si="10"/>
        <v>3683.2954545454422</v>
      </c>
      <c r="Y36" s="200"/>
      <c r="Z36" s="199">
        <f t="shared" si="12"/>
        <v>16093.52272727271</v>
      </c>
      <c r="AA36" s="200">
        <f t="shared" ref="AA36" si="56">+$B36/$E36</f>
        <v>17001.249999999996</v>
      </c>
      <c r="AB36" s="199">
        <f t="shared" si="12"/>
        <v>11502.499999999982</v>
      </c>
      <c r="AC36" s="200"/>
      <c r="AD36" s="125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  <c r="IV36" s="123"/>
      <c r="IW36" s="123"/>
      <c r="IX36" s="123"/>
      <c r="IY36" s="123"/>
      <c r="IZ36" s="123"/>
      <c r="JA36" s="123"/>
      <c r="JB36" s="123"/>
      <c r="JC36" s="123"/>
      <c r="JD36" s="123"/>
      <c r="JE36" s="123"/>
      <c r="JF36" s="123"/>
      <c r="JG36" s="123"/>
      <c r="JH36" s="123"/>
      <c r="JI36" s="123"/>
      <c r="JJ36" s="123"/>
      <c r="JK36" s="123"/>
      <c r="JL36" s="123"/>
      <c r="JM36" s="123"/>
      <c r="JN36" s="123"/>
      <c r="JO36" s="123"/>
      <c r="JP36" s="123"/>
      <c r="JQ36" s="123"/>
      <c r="JR36" s="123"/>
      <c r="JS36" s="123"/>
      <c r="JT36" s="123"/>
      <c r="JU36" s="123"/>
      <c r="JV36" s="123"/>
      <c r="JW36" s="123"/>
      <c r="JX36" s="123"/>
      <c r="JY36" s="123"/>
      <c r="JZ36" s="123"/>
      <c r="KA36" s="123"/>
      <c r="KB36" s="123"/>
      <c r="KC36" s="123"/>
      <c r="KD36" s="123"/>
      <c r="KE36" s="123"/>
      <c r="KF36" s="123"/>
      <c r="KG36" s="123"/>
      <c r="KH36" s="123"/>
      <c r="KI36" s="123"/>
      <c r="KJ36" s="123"/>
      <c r="KK36" s="123"/>
      <c r="KL36" s="123"/>
      <c r="KM36" s="123"/>
      <c r="KN36" s="123"/>
      <c r="KO36" s="123"/>
      <c r="KP36" s="123"/>
      <c r="KQ36" s="123"/>
      <c r="KR36" s="123"/>
      <c r="KS36" s="123"/>
      <c r="KT36" s="123"/>
      <c r="KU36" s="123"/>
      <c r="KV36" s="123"/>
      <c r="KW36" s="123"/>
      <c r="KX36" s="123"/>
      <c r="KY36" s="123"/>
      <c r="KZ36" s="123"/>
      <c r="LA36" s="123"/>
      <c r="LB36" s="123"/>
      <c r="LC36" s="123"/>
      <c r="LD36" s="123"/>
      <c r="LE36" s="123"/>
      <c r="LF36" s="123"/>
      <c r="LG36" s="123"/>
      <c r="LH36" s="123"/>
      <c r="LI36" s="123"/>
      <c r="LJ36" s="123"/>
      <c r="LK36" s="123"/>
      <c r="LL36" s="123"/>
      <c r="LM36" s="123"/>
      <c r="LN36" s="123"/>
      <c r="LO36" s="123"/>
      <c r="LP36" s="123"/>
      <c r="LQ36" s="123"/>
      <c r="LR36" s="123"/>
      <c r="LS36" s="123"/>
      <c r="LT36" s="123"/>
      <c r="LU36" s="123"/>
      <c r="LV36" s="123"/>
      <c r="LW36" s="123"/>
      <c r="LX36" s="123"/>
      <c r="LY36" s="123"/>
      <c r="LZ36" s="123"/>
      <c r="MA36" s="123"/>
      <c r="MB36" s="123"/>
      <c r="MC36" s="123"/>
      <c r="MD36" s="123"/>
      <c r="ME36" s="123"/>
      <c r="MF36" s="123"/>
      <c r="MG36" s="123"/>
      <c r="MH36" s="123"/>
      <c r="MI36" s="123"/>
      <c r="MJ36" s="123"/>
      <c r="MK36" s="123"/>
      <c r="ML36" s="123"/>
      <c r="MM36" s="123"/>
      <c r="MN36" s="123"/>
      <c r="MO36" s="123"/>
      <c r="MP36" s="123"/>
      <c r="MQ36" s="123"/>
      <c r="MR36" s="123"/>
      <c r="MS36" s="123"/>
      <c r="MT36" s="123"/>
      <c r="MU36" s="123"/>
      <c r="MV36" s="123"/>
      <c r="MW36" s="123"/>
      <c r="MX36" s="123"/>
      <c r="MY36" s="123"/>
      <c r="MZ36" s="123"/>
      <c r="NA36" s="123"/>
      <c r="NB36" s="123"/>
      <c r="NC36" s="123"/>
      <c r="ND36" s="123"/>
      <c r="NE36" s="123"/>
      <c r="NF36" s="123"/>
      <c r="NG36" s="123"/>
      <c r="NH36" s="123"/>
      <c r="NI36" s="123"/>
      <c r="NJ36" s="123"/>
      <c r="NK36" s="123"/>
      <c r="NL36" s="123"/>
      <c r="NM36" s="123"/>
      <c r="NN36" s="123"/>
      <c r="NO36" s="123"/>
      <c r="NP36" s="123"/>
      <c r="NQ36" s="123"/>
      <c r="NR36" s="123"/>
      <c r="NS36" s="123"/>
      <c r="NT36" s="123"/>
      <c r="NU36" s="123"/>
      <c r="NV36" s="123"/>
      <c r="NW36" s="123"/>
      <c r="NX36" s="123"/>
      <c r="NY36" s="123"/>
      <c r="NZ36" s="123"/>
      <c r="OA36" s="123"/>
      <c r="OB36" s="123"/>
      <c r="OC36" s="123"/>
      <c r="OD36" s="123"/>
      <c r="OE36" s="123"/>
      <c r="OF36" s="123"/>
      <c r="OG36" s="123"/>
      <c r="OH36" s="123"/>
      <c r="OI36" s="123"/>
      <c r="OJ36" s="123"/>
      <c r="OK36" s="123"/>
      <c r="OL36" s="123"/>
      <c r="OM36" s="123"/>
      <c r="ON36" s="123"/>
      <c r="OO36" s="123"/>
      <c r="OP36" s="123"/>
      <c r="OQ36" s="123"/>
      <c r="OR36" s="123"/>
      <c r="OS36" s="123"/>
      <c r="OT36" s="123"/>
      <c r="OU36" s="123"/>
      <c r="OV36" s="123"/>
      <c r="OW36" s="123"/>
      <c r="OX36" s="123"/>
      <c r="OY36" s="123"/>
      <c r="OZ36" s="123"/>
      <c r="PA36" s="123"/>
      <c r="PB36" s="123"/>
      <c r="PC36" s="123"/>
      <c r="PD36" s="123"/>
      <c r="PE36" s="123"/>
      <c r="PF36" s="123"/>
      <c r="PG36" s="123"/>
      <c r="PH36" s="123"/>
      <c r="PI36" s="123"/>
      <c r="PJ36" s="123"/>
      <c r="PK36" s="123"/>
      <c r="PL36" s="123"/>
      <c r="PM36" s="123"/>
      <c r="PN36" s="123"/>
      <c r="PO36" s="123"/>
      <c r="PP36" s="123"/>
      <c r="PQ36" s="123"/>
      <c r="PR36" s="123"/>
      <c r="PS36" s="123"/>
      <c r="PT36" s="123"/>
      <c r="PU36" s="123"/>
      <c r="PV36" s="123"/>
      <c r="PW36" s="123"/>
      <c r="PX36" s="123"/>
      <c r="PY36" s="123"/>
      <c r="PZ36" s="123"/>
      <c r="QA36" s="123"/>
      <c r="QB36" s="123"/>
      <c r="QC36" s="123"/>
      <c r="QD36" s="123"/>
      <c r="QE36" s="123"/>
      <c r="QF36" s="123"/>
      <c r="QG36" s="123"/>
    </row>
    <row r="37" spans="1:449" s="156" customFormat="1" ht="30" x14ac:dyDescent="0.25">
      <c r="A37" s="159" t="s">
        <v>79</v>
      </c>
      <c r="B37" s="164">
        <f>+(VLOOKUP(A37,'Ejercicio 1'!$M$40:$R$80,2,FALSE))*VLOOKUP(A37,'Ejercicio 1'!$E$40:$I$80,4,FALSE)</f>
        <v>51003.749999999985</v>
      </c>
      <c r="C37" s="61" t="str">
        <f>+VLOOKUP(A37,'Ejercicio 1'!$E$40:$I$80,5,FALSE)</f>
        <v>u</v>
      </c>
      <c r="D37" s="160">
        <f>+(VLOOKUP(A37,'Ejercicio 1'!$M$40:$R$80,4,FALSE)+VLOOKUP(A37,'Ejercicio 1'!$M$40:$R$80,5,FALSE))*VLOOKUP(A37,'Ejercicio 1'!$E$40:$I$80,4,FALSE)/11</f>
        <v>4591.022727272727</v>
      </c>
      <c r="E37" s="168">
        <v>3</v>
      </c>
      <c r="F37" s="199">
        <f>11000+G37</f>
        <v>28001.249999999996</v>
      </c>
      <c r="G37" s="200">
        <f t="shared" ref="G37" si="57">+$B37/$E37</f>
        <v>17001.249999999996</v>
      </c>
      <c r="H37" s="199">
        <f t="shared" si="14"/>
        <v>23410.227272727268</v>
      </c>
      <c r="I37" s="200"/>
      <c r="J37" s="199">
        <f t="shared" si="1"/>
        <v>18819.20454545454</v>
      </c>
      <c r="K37" s="200"/>
      <c r="L37" s="199">
        <f t="shared" si="2"/>
        <v>14228.181818181813</v>
      </c>
      <c r="M37" s="200"/>
      <c r="N37" s="199">
        <f t="shared" si="3"/>
        <v>9637.1590909090846</v>
      </c>
      <c r="O37" s="200"/>
      <c r="P37" s="199">
        <f t="shared" si="5"/>
        <v>22047.386363636353</v>
      </c>
      <c r="Q37" s="200">
        <f t="shared" ref="Q37" si="58">+$B37/$E37</f>
        <v>17001.249999999996</v>
      </c>
      <c r="R37" s="199">
        <f t="shared" si="6"/>
        <v>17456.363636363625</v>
      </c>
      <c r="S37" s="200"/>
      <c r="T37" s="199">
        <f t="shared" si="8"/>
        <v>12865.340909090897</v>
      </c>
      <c r="U37" s="200"/>
      <c r="V37" s="199">
        <f t="shared" si="9"/>
        <v>8274.3181818181693</v>
      </c>
      <c r="W37" s="200"/>
      <c r="X37" s="199">
        <f t="shared" si="10"/>
        <v>3683.2954545454422</v>
      </c>
      <c r="Y37" s="200"/>
      <c r="Z37" s="199">
        <f t="shared" si="12"/>
        <v>16093.52272727271</v>
      </c>
      <c r="AA37" s="200">
        <f t="shared" ref="AA37" si="59">+$B37/$E37</f>
        <v>17001.249999999996</v>
      </c>
      <c r="AB37" s="199">
        <f t="shared" si="12"/>
        <v>11502.499999999982</v>
      </c>
      <c r="AC37" s="200"/>
      <c r="AD37" s="125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  <c r="IW37" s="123"/>
      <c r="IX37" s="123"/>
      <c r="IY37" s="123"/>
      <c r="IZ37" s="123"/>
      <c r="JA37" s="123"/>
      <c r="JB37" s="123"/>
      <c r="JC37" s="123"/>
      <c r="JD37" s="123"/>
      <c r="JE37" s="123"/>
      <c r="JF37" s="123"/>
      <c r="JG37" s="123"/>
      <c r="JH37" s="123"/>
      <c r="JI37" s="123"/>
      <c r="JJ37" s="123"/>
      <c r="JK37" s="123"/>
      <c r="JL37" s="123"/>
      <c r="JM37" s="123"/>
      <c r="JN37" s="123"/>
      <c r="JO37" s="123"/>
      <c r="JP37" s="123"/>
      <c r="JQ37" s="123"/>
      <c r="JR37" s="123"/>
      <c r="JS37" s="123"/>
      <c r="JT37" s="123"/>
      <c r="JU37" s="123"/>
      <c r="JV37" s="123"/>
      <c r="JW37" s="123"/>
      <c r="JX37" s="123"/>
      <c r="JY37" s="123"/>
      <c r="JZ37" s="123"/>
      <c r="KA37" s="123"/>
      <c r="KB37" s="123"/>
      <c r="KC37" s="123"/>
      <c r="KD37" s="123"/>
      <c r="KE37" s="123"/>
      <c r="KF37" s="123"/>
      <c r="KG37" s="123"/>
      <c r="KH37" s="123"/>
      <c r="KI37" s="123"/>
      <c r="KJ37" s="123"/>
      <c r="KK37" s="123"/>
      <c r="KL37" s="123"/>
      <c r="KM37" s="123"/>
      <c r="KN37" s="123"/>
      <c r="KO37" s="123"/>
      <c r="KP37" s="123"/>
      <c r="KQ37" s="123"/>
      <c r="KR37" s="123"/>
      <c r="KS37" s="123"/>
      <c r="KT37" s="123"/>
      <c r="KU37" s="123"/>
      <c r="KV37" s="123"/>
      <c r="KW37" s="123"/>
      <c r="KX37" s="123"/>
      <c r="KY37" s="123"/>
      <c r="KZ37" s="123"/>
      <c r="LA37" s="123"/>
      <c r="LB37" s="123"/>
      <c r="LC37" s="123"/>
      <c r="LD37" s="123"/>
      <c r="LE37" s="123"/>
      <c r="LF37" s="123"/>
      <c r="LG37" s="123"/>
      <c r="LH37" s="123"/>
      <c r="LI37" s="123"/>
      <c r="LJ37" s="123"/>
      <c r="LK37" s="123"/>
      <c r="LL37" s="123"/>
      <c r="LM37" s="123"/>
      <c r="LN37" s="123"/>
      <c r="LO37" s="123"/>
      <c r="LP37" s="123"/>
      <c r="LQ37" s="123"/>
      <c r="LR37" s="123"/>
      <c r="LS37" s="123"/>
      <c r="LT37" s="123"/>
      <c r="LU37" s="123"/>
      <c r="LV37" s="123"/>
      <c r="LW37" s="123"/>
      <c r="LX37" s="123"/>
      <c r="LY37" s="123"/>
      <c r="LZ37" s="123"/>
      <c r="MA37" s="123"/>
      <c r="MB37" s="123"/>
      <c r="MC37" s="123"/>
      <c r="MD37" s="123"/>
      <c r="ME37" s="123"/>
      <c r="MF37" s="123"/>
      <c r="MG37" s="123"/>
      <c r="MH37" s="123"/>
      <c r="MI37" s="123"/>
      <c r="MJ37" s="123"/>
      <c r="MK37" s="123"/>
      <c r="ML37" s="123"/>
      <c r="MM37" s="123"/>
      <c r="MN37" s="123"/>
      <c r="MO37" s="123"/>
      <c r="MP37" s="123"/>
      <c r="MQ37" s="123"/>
      <c r="MR37" s="123"/>
      <c r="MS37" s="123"/>
      <c r="MT37" s="123"/>
      <c r="MU37" s="123"/>
      <c r="MV37" s="123"/>
      <c r="MW37" s="123"/>
      <c r="MX37" s="123"/>
      <c r="MY37" s="123"/>
      <c r="MZ37" s="123"/>
      <c r="NA37" s="123"/>
      <c r="NB37" s="123"/>
      <c r="NC37" s="123"/>
      <c r="ND37" s="123"/>
      <c r="NE37" s="123"/>
      <c r="NF37" s="123"/>
      <c r="NG37" s="123"/>
      <c r="NH37" s="123"/>
      <c r="NI37" s="123"/>
      <c r="NJ37" s="123"/>
      <c r="NK37" s="123"/>
      <c r="NL37" s="123"/>
      <c r="NM37" s="123"/>
      <c r="NN37" s="123"/>
      <c r="NO37" s="123"/>
      <c r="NP37" s="123"/>
      <c r="NQ37" s="123"/>
      <c r="NR37" s="123"/>
      <c r="NS37" s="123"/>
      <c r="NT37" s="123"/>
      <c r="NU37" s="123"/>
      <c r="NV37" s="123"/>
      <c r="NW37" s="123"/>
      <c r="NX37" s="123"/>
      <c r="NY37" s="123"/>
      <c r="NZ37" s="123"/>
      <c r="OA37" s="123"/>
      <c r="OB37" s="123"/>
      <c r="OC37" s="123"/>
      <c r="OD37" s="123"/>
      <c r="OE37" s="123"/>
      <c r="OF37" s="123"/>
      <c r="OG37" s="123"/>
      <c r="OH37" s="123"/>
      <c r="OI37" s="123"/>
      <c r="OJ37" s="123"/>
      <c r="OK37" s="123"/>
      <c r="OL37" s="123"/>
      <c r="OM37" s="123"/>
      <c r="ON37" s="123"/>
      <c r="OO37" s="123"/>
      <c r="OP37" s="123"/>
      <c r="OQ37" s="123"/>
      <c r="OR37" s="123"/>
      <c r="OS37" s="123"/>
      <c r="OT37" s="123"/>
      <c r="OU37" s="123"/>
      <c r="OV37" s="123"/>
      <c r="OW37" s="123"/>
      <c r="OX37" s="123"/>
      <c r="OY37" s="123"/>
      <c r="OZ37" s="123"/>
      <c r="PA37" s="123"/>
      <c r="PB37" s="123"/>
      <c r="PC37" s="123"/>
      <c r="PD37" s="123"/>
      <c r="PE37" s="123"/>
      <c r="PF37" s="123"/>
      <c r="PG37" s="123"/>
      <c r="PH37" s="123"/>
      <c r="PI37" s="123"/>
      <c r="PJ37" s="123"/>
      <c r="PK37" s="123"/>
      <c r="PL37" s="123"/>
      <c r="PM37" s="123"/>
      <c r="PN37" s="123"/>
      <c r="PO37" s="123"/>
      <c r="PP37" s="123"/>
      <c r="PQ37" s="123"/>
      <c r="PR37" s="123"/>
      <c r="PS37" s="123"/>
      <c r="PT37" s="123"/>
      <c r="PU37" s="123"/>
      <c r="PV37" s="123"/>
      <c r="PW37" s="123"/>
      <c r="PX37" s="123"/>
      <c r="PY37" s="123"/>
      <c r="PZ37" s="123"/>
      <c r="QA37" s="123"/>
      <c r="QB37" s="123"/>
      <c r="QC37" s="123"/>
      <c r="QD37" s="123"/>
      <c r="QE37" s="123"/>
      <c r="QF37" s="123"/>
      <c r="QG37" s="123"/>
    </row>
    <row r="38" spans="1:449" s="156" customFormat="1" ht="45" x14ac:dyDescent="0.25">
      <c r="A38" s="159" t="s">
        <v>59</v>
      </c>
      <c r="B38" s="164">
        <f>+(VLOOKUP(A38,'Ejercicio 1'!$M$40:$R$80,2,FALSE))*VLOOKUP(A38,'Ejercicio 1'!$E$40:$I$80,4,FALSE)</f>
        <v>51003.749999999985</v>
      </c>
      <c r="C38" s="61" t="str">
        <f>+VLOOKUP(A38,'Ejercicio 1'!$E$40:$I$80,5,FALSE)</f>
        <v>u</v>
      </c>
      <c r="D38" s="160">
        <f>+(VLOOKUP(A38,'Ejercicio 1'!$M$40:$R$80,4,FALSE)+VLOOKUP(A38,'Ejercicio 1'!$M$40:$R$80,5,FALSE))*VLOOKUP(A38,'Ejercicio 1'!$E$40:$I$80,4,FALSE)/11</f>
        <v>4591.022727272727</v>
      </c>
      <c r="E38" s="168">
        <v>3</v>
      </c>
      <c r="F38" s="199">
        <f>11000+G38</f>
        <v>28001.249999999996</v>
      </c>
      <c r="G38" s="200">
        <f t="shared" ref="G38" si="60">+$B38/$E38</f>
        <v>17001.249999999996</v>
      </c>
      <c r="H38" s="199">
        <f t="shared" si="14"/>
        <v>23410.227272727268</v>
      </c>
      <c r="I38" s="200"/>
      <c r="J38" s="199">
        <f t="shared" si="1"/>
        <v>18819.20454545454</v>
      </c>
      <c r="K38" s="200"/>
      <c r="L38" s="199">
        <f t="shared" si="2"/>
        <v>14228.181818181813</v>
      </c>
      <c r="M38" s="200"/>
      <c r="N38" s="199">
        <f t="shared" si="3"/>
        <v>9637.1590909090846</v>
      </c>
      <c r="O38" s="200"/>
      <c r="P38" s="199">
        <f t="shared" si="5"/>
        <v>22047.386363636353</v>
      </c>
      <c r="Q38" s="200">
        <f t="shared" ref="Q38" si="61">+$B38/$E38</f>
        <v>17001.249999999996</v>
      </c>
      <c r="R38" s="199">
        <f t="shared" si="6"/>
        <v>17456.363636363625</v>
      </c>
      <c r="S38" s="200"/>
      <c r="T38" s="199">
        <f t="shared" si="8"/>
        <v>12865.340909090897</v>
      </c>
      <c r="U38" s="200"/>
      <c r="V38" s="199">
        <f t="shared" si="9"/>
        <v>8274.3181818181693</v>
      </c>
      <c r="W38" s="200"/>
      <c r="X38" s="199">
        <f t="shared" si="10"/>
        <v>3683.2954545454422</v>
      </c>
      <c r="Y38" s="200"/>
      <c r="Z38" s="199">
        <f t="shared" si="12"/>
        <v>16093.52272727271</v>
      </c>
      <c r="AA38" s="200">
        <f t="shared" ref="AA38" si="62">+$B38/$E38</f>
        <v>17001.249999999996</v>
      </c>
      <c r="AB38" s="199">
        <f t="shared" si="12"/>
        <v>11502.499999999982</v>
      </c>
      <c r="AC38" s="200"/>
      <c r="AD38" s="125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  <c r="IW38" s="123"/>
      <c r="IX38" s="123"/>
      <c r="IY38" s="123"/>
      <c r="IZ38" s="123"/>
      <c r="JA38" s="123"/>
      <c r="JB38" s="123"/>
      <c r="JC38" s="123"/>
      <c r="JD38" s="123"/>
      <c r="JE38" s="123"/>
      <c r="JF38" s="123"/>
      <c r="JG38" s="123"/>
      <c r="JH38" s="123"/>
      <c r="JI38" s="123"/>
      <c r="JJ38" s="123"/>
      <c r="JK38" s="123"/>
      <c r="JL38" s="123"/>
      <c r="JM38" s="123"/>
      <c r="JN38" s="123"/>
      <c r="JO38" s="123"/>
      <c r="JP38" s="123"/>
      <c r="JQ38" s="123"/>
      <c r="JR38" s="123"/>
      <c r="JS38" s="123"/>
      <c r="JT38" s="123"/>
      <c r="JU38" s="123"/>
      <c r="JV38" s="123"/>
      <c r="JW38" s="123"/>
      <c r="JX38" s="123"/>
      <c r="JY38" s="123"/>
      <c r="JZ38" s="123"/>
      <c r="KA38" s="123"/>
      <c r="KB38" s="123"/>
      <c r="KC38" s="123"/>
      <c r="KD38" s="123"/>
      <c r="KE38" s="123"/>
      <c r="KF38" s="123"/>
      <c r="KG38" s="123"/>
      <c r="KH38" s="123"/>
      <c r="KI38" s="123"/>
      <c r="KJ38" s="123"/>
      <c r="KK38" s="123"/>
      <c r="KL38" s="123"/>
      <c r="KM38" s="123"/>
      <c r="KN38" s="123"/>
      <c r="KO38" s="123"/>
      <c r="KP38" s="123"/>
      <c r="KQ38" s="123"/>
      <c r="KR38" s="123"/>
      <c r="KS38" s="123"/>
      <c r="KT38" s="123"/>
      <c r="KU38" s="123"/>
      <c r="KV38" s="123"/>
      <c r="KW38" s="123"/>
      <c r="KX38" s="123"/>
      <c r="KY38" s="123"/>
      <c r="KZ38" s="123"/>
      <c r="LA38" s="123"/>
      <c r="LB38" s="123"/>
      <c r="LC38" s="123"/>
      <c r="LD38" s="123"/>
      <c r="LE38" s="123"/>
      <c r="LF38" s="123"/>
      <c r="LG38" s="123"/>
      <c r="LH38" s="123"/>
      <c r="LI38" s="123"/>
      <c r="LJ38" s="123"/>
      <c r="LK38" s="123"/>
      <c r="LL38" s="123"/>
      <c r="LM38" s="123"/>
      <c r="LN38" s="123"/>
      <c r="LO38" s="123"/>
      <c r="LP38" s="123"/>
      <c r="LQ38" s="123"/>
      <c r="LR38" s="123"/>
      <c r="LS38" s="123"/>
      <c r="LT38" s="123"/>
      <c r="LU38" s="123"/>
      <c r="LV38" s="123"/>
      <c r="LW38" s="123"/>
      <c r="LX38" s="123"/>
      <c r="LY38" s="123"/>
      <c r="LZ38" s="123"/>
      <c r="MA38" s="123"/>
      <c r="MB38" s="123"/>
      <c r="MC38" s="123"/>
      <c r="MD38" s="123"/>
      <c r="ME38" s="123"/>
      <c r="MF38" s="123"/>
      <c r="MG38" s="123"/>
      <c r="MH38" s="123"/>
      <c r="MI38" s="123"/>
      <c r="MJ38" s="123"/>
      <c r="MK38" s="123"/>
      <c r="ML38" s="123"/>
      <c r="MM38" s="123"/>
      <c r="MN38" s="123"/>
      <c r="MO38" s="123"/>
      <c r="MP38" s="123"/>
      <c r="MQ38" s="123"/>
      <c r="MR38" s="123"/>
      <c r="MS38" s="123"/>
      <c r="MT38" s="123"/>
      <c r="MU38" s="123"/>
      <c r="MV38" s="123"/>
      <c r="MW38" s="123"/>
      <c r="MX38" s="123"/>
      <c r="MY38" s="123"/>
      <c r="MZ38" s="123"/>
      <c r="NA38" s="123"/>
      <c r="NB38" s="123"/>
      <c r="NC38" s="123"/>
      <c r="ND38" s="123"/>
      <c r="NE38" s="123"/>
      <c r="NF38" s="123"/>
      <c r="NG38" s="123"/>
      <c r="NH38" s="123"/>
      <c r="NI38" s="123"/>
      <c r="NJ38" s="123"/>
      <c r="NK38" s="123"/>
      <c r="NL38" s="123"/>
      <c r="NM38" s="123"/>
      <c r="NN38" s="123"/>
      <c r="NO38" s="123"/>
      <c r="NP38" s="123"/>
      <c r="NQ38" s="123"/>
      <c r="NR38" s="123"/>
      <c r="NS38" s="123"/>
      <c r="NT38" s="123"/>
      <c r="NU38" s="123"/>
      <c r="NV38" s="123"/>
      <c r="NW38" s="123"/>
      <c r="NX38" s="123"/>
      <c r="NY38" s="123"/>
      <c r="NZ38" s="123"/>
      <c r="OA38" s="123"/>
      <c r="OB38" s="123"/>
      <c r="OC38" s="123"/>
      <c r="OD38" s="123"/>
      <c r="OE38" s="123"/>
      <c r="OF38" s="123"/>
      <c r="OG38" s="123"/>
      <c r="OH38" s="123"/>
      <c r="OI38" s="123"/>
      <c r="OJ38" s="123"/>
      <c r="OK38" s="123"/>
      <c r="OL38" s="123"/>
      <c r="OM38" s="123"/>
      <c r="ON38" s="123"/>
      <c r="OO38" s="123"/>
      <c r="OP38" s="123"/>
      <c r="OQ38" s="123"/>
      <c r="OR38" s="123"/>
      <c r="OS38" s="123"/>
      <c r="OT38" s="123"/>
      <c r="OU38" s="123"/>
      <c r="OV38" s="123"/>
      <c r="OW38" s="123"/>
      <c r="OX38" s="123"/>
      <c r="OY38" s="123"/>
      <c r="OZ38" s="123"/>
      <c r="PA38" s="123"/>
      <c r="PB38" s="123"/>
      <c r="PC38" s="123"/>
      <c r="PD38" s="123"/>
      <c r="PE38" s="123"/>
      <c r="PF38" s="123"/>
      <c r="PG38" s="123"/>
      <c r="PH38" s="123"/>
      <c r="PI38" s="123"/>
      <c r="PJ38" s="123"/>
      <c r="PK38" s="123"/>
      <c r="PL38" s="123"/>
      <c r="PM38" s="123"/>
      <c r="PN38" s="123"/>
      <c r="PO38" s="123"/>
      <c r="PP38" s="123"/>
      <c r="PQ38" s="123"/>
      <c r="PR38" s="123"/>
      <c r="PS38" s="123"/>
      <c r="PT38" s="123"/>
      <c r="PU38" s="123"/>
      <c r="PV38" s="123"/>
      <c r="PW38" s="123"/>
      <c r="PX38" s="123"/>
      <c r="PY38" s="123"/>
      <c r="PZ38" s="123"/>
      <c r="QA38" s="123"/>
      <c r="QB38" s="123"/>
      <c r="QC38" s="123"/>
      <c r="QD38" s="123"/>
      <c r="QE38" s="123"/>
      <c r="QF38" s="123"/>
      <c r="QG38" s="123"/>
    </row>
    <row r="39" spans="1:449" s="156" customFormat="1" ht="30" x14ac:dyDescent="0.25">
      <c r="A39" s="159" t="s">
        <v>75</v>
      </c>
      <c r="B39" s="164">
        <f>+(VLOOKUP(A39,'Ejercicio 1'!$M$40:$R$80,2,FALSE))*VLOOKUP(A39,'Ejercicio 1'!$E$40:$I$80,4,FALSE)</f>
        <v>153011.24999999994</v>
      </c>
      <c r="C39" s="61" t="str">
        <f>+VLOOKUP(A39,'Ejercicio 1'!$E$40:$I$80,5,FALSE)</f>
        <v>u</v>
      </c>
      <c r="D39" s="160">
        <f>+(VLOOKUP(A39,'Ejercicio 1'!$M$40:$R$80,4,FALSE)+VLOOKUP(A39,'Ejercicio 1'!$M$40:$R$80,5,FALSE))*VLOOKUP(A39,'Ejercicio 1'!$E$40:$I$80,4,FALSE)/11</f>
        <v>13773.068181818182</v>
      </c>
      <c r="E39" s="168">
        <v>2</v>
      </c>
      <c r="F39" s="199">
        <f>38000+G39</f>
        <v>38000</v>
      </c>
      <c r="G39" s="200"/>
      <c r="H39" s="199">
        <f t="shared" si="14"/>
        <v>24226.931818181816</v>
      </c>
      <c r="I39" s="200"/>
      <c r="J39" s="199">
        <f t="shared" si="1"/>
        <v>86959.488636363618</v>
      </c>
      <c r="K39" s="200">
        <f t="shared" ref="K39:K43" si="63">+$B39/$E39</f>
        <v>76505.624999999971</v>
      </c>
      <c r="L39" s="199">
        <f t="shared" si="2"/>
        <v>73186.420454545441</v>
      </c>
      <c r="M39" s="200"/>
      <c r="N39" s="199">
        <f t="shared" si="3"/>
        <v>59413.352272727258</v>
      </c>
      <c r="O39" s="200"/>
      <c r="P39" s="199">
        <f t="shared" si="5"/>
        <v>45640.284090909074</v>
      </c>
      <c r="Q39" s="200"/>
      <c r="R39" s="199">
        <f t="shared" si="6"/>
        <v>31867.21590909089</v>
      </c>
      <c r="S39" s="200"/>
      <c r="T39" s="199">
        <f t="shared" si="8"/>
        <v>94599.772727272677</v>
      </c>
      <c r="U39" s="200">
        <f t="shared" ref="U39:U43" si="64">+$B39/$E39</f>
        <v>76505.624999999971</v>
      </c>
      <c r="V39" s="199">
        <f t="shared" si="9"/>
        <v>80826.7045454545</v>
      </c>
      <c r="W39" s="200"/>
      <c r="X39" s="199">
        <f t="shared" si="10"/>
        <v>67053.636363636324</v>
      </c>
      <c r="Y39" s="200"/>
      <c r="Z39" s="199">
        <f t="shared" si="12"/>
        <v>53280.56818181814</v>
      </c>
      <c r="AA39" s="200"/>
      <c r="AB39" s="199">
        <f t="shared" si="12"/>
        <v>39507.499999999956</v>
      </c>
      <c r="AC39" s="200"/>
      <c r="AD39" s="125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  <c r="IW39" s="123"/>
      <c r="IX39" s="123"/>
      <c r="IY39" s="123"/>
      <c r="IZ39" s="123"/>
      <c r="JA39" s="123"/>
      <c r="JB39" s="123"/>
      <c r="JC39" s="123"/>
      <c r="JD39" s="123"/>
      <c r="JE39" s="123"/>
      <c r="JF39" s="123"/>
      <c r="JG39" s="123"/>
      <c r="JH39" s="123"/>
      <c r="JI39" s="123"/>
      <c r="JJ39" s="123"/>
      <c r="JK39" s="123"/>
      <c r="JL39" s="123"/>
      <c r="JM39" s="123"/>
      <c r="JN39" s="123"/>
      <c r="JO39" s="123"/>
      <c r="JP39" s="123"/>
      <c r="JQ39" s="123"/>
      <c r="JR39" s="123"/>
      <c r="JS39" s="123"/>
      <c r="JT39" s="123"/>
      <c r="JU39" s="123"/>
      <c r="JV39" s="123"/>
      <c r="JW39" s="123"/>
      <c r="JX39" s="123"/>
      <c r="JY39" s="123"/>
      <c r="JZ39" s="123"/>
      <c r="KA39" s="123"/>
      <c r="KB39" s="123"/>
      <c r="KC39" s="123"/>
      <c r="KD39" s="123"/>
      <c r="KE39" s="123"/>
      <c r="KF39" s="123"/>
      <c r="KG39" s="123"/>
      <c r="KH39" s="123"/>
      <c r="KI39" s="123"/>
      <c r="KJ39" s="123"/>
      <c r="KK39" s="123"/>
      <c r="KL39" s="123"/>
      <c r="KM39" s="123"/>
      <c r="KN39" s="123"/>
      <c r="KO39" s="123"/>
      <c r="KP39" s="123"/>
      <c r="KQ39" s="123"/>
      <c r="KR39" s="123"/>
      <c r="KS39" s="123"/>
      <c r="KT39" s="123"/>
      <c r="KU39" s="123"/>
      <c r="KV39" s="123"/>
      <c r="KW39" s="123"/>
      <c r="KX39" s="123"/>
      <c r="KY39" s="123"/>
      <c r="KZ39" s="123"/>
      <c r="LA39" s="123"/>
      <c r="LB39" s="123"/>
      <c r="LC39" s="123"/>
      <c r="LD39" s="123"/>
      <c r="LE39" s="123"/>
      <c r="LF39" s="123"/>
      <c r="LG39" s="123"/>
      <c r="LH39" s="123"/>
      <c r="LI39" s="123"/>
      <c r="LJ39" s="123"/>
      <c r="LK39" s="123"/>
      <c r="LL39" s="123"/>
      <c r="LM39" s="123"/>
      <c r="LN39" s="123"/>
      <c r="LO39" s="123"/>
      <c r="LP39" s="123"/>
      <c r="LQ39" s="123"/>
      <c r="LR39" s="123"/>
      <c r="LS39" s="123"/>
      <c r="LT39" s="123"/>
      <c r="LU39" s="123"/>
      <c r="LV39" s="123"/>
      <c r="LW39" s="123"/>
      <c r="LX39" s="123"/>
      <c r="LY39" s="123"/>
      <c r="LZ39" s="123"/>
      <c r="MA39" s="123"/>
      <c r="MB39" s="123"/>
      <c r="MC39" s="123"/>
      <c r="MD39" s="123"/>
      <c r="ME39" s="123"/>
      <c r="MF39" s="123"/>
      <c r="MG39" s="123"/>
      <c r="MH39" s="123"/>
      <c r="MI39" s="123"/>
      <c r="MJ39" s="123"/>
      <c r="MK39" s="123"/>
      <c r="ML39" s="123"/>
      <c r="MM39" s="123"/>
      <c r="MN39" s="123"/>
      <c r="MO39" s="123"/>
      <c r="MP39" s="123"/>
      <c r="MQ39" s="123"/>
      <c r="MR39" s="123"/>
      <c r="MS39" s="123"/>
      <c r="MT39" s="123"/>
      <c r="MU39" s="123"/>
      <c r="MV39" s="123"/>
      <c r="MW39" s="123"/>
      <c r="MX39" s="123"/>
      <c r="MY39" s="123"/>
      <c r="MZ39" s="123"/>
      <c r="NA39" s="123"/>
      <c r="NB39" s="123"/>
      <c r="NC39" s="123"/>
      <c r="ND39" s="123"/>
      <c r="NE39" s="123"/>
      <c r="NF39" s="123"/>
      <c r="NG39" s="123"/>
      <c r="NH39" s="123"/>
      <c r="NI39" s="123"/>
      <c r="NJ39" s="123"/>
      <c r="NK39" s="123"/>
      <c r="NL39" s="123"/>
      <c r="NM39" s="123"/>
      <c r="NN39" s="123"/>
      <c r="NO39" s="123"/>
      <c r="NP39" s="123"/>
      <c r="NQ39" s="123"/>
      <c r="NR39" s="123"/>
      <c r="NS39" s="123"/>
      <c r="NT39" s="123"/>
      <c r="NU39" s="123"/>
      <c r="NV39" s="123"/>
      <c r="NW39" s="123"/>
      <c r="NX39" s="123"/>
      <c r="NY39" s="123"/>
      <c r="NZ39" s="123"/>
      <c r="OA39" s="123"/>
      <c r="OB39" s="123"/>
      <c r="OC39" s="123"/>
      <c r="OD39" s="123"/>
      <c r="OE39" s="123"/>
      <c r="OF39" s="123"/>
      <c r="OG39" s="123"/>
      <c r="OH39" s="123"/>
      <c r="OI39" s="123"/>
      <c r="OJ39" s="123"/>
      <c r="OK39" s="123"/>
      <c r="OL39" s="123"/>
      <c r="OM39" s="123"/>
      <c r="ON39" s="123"/>
      <c r="OO39" s="123"/>
      <c r="OP39" s="123"/>
      <c r="OQ39" s="123"/>
      <c r="OR39" s="123"/>
      <c r="OS39" s="123"/>
      <c r="OT39" s="123"/>
      <c r="OU39" s="123"/>
      <c r="OV39" s="123"/>
      <c r="OW39" s="123"/>
      <c r="OX39" s="123"/>
      <c r="OY39" s="123"/>
      <c r="OZ39" s="123"/>
      <c r="PA39" s="123"/>
      <c r="PB39" s="123"/>
      <c r="PC39" s="123"/>
      <c r="PD39" s="123"/>
      <c r="PE39" s="123"/>
      <c r="PF39" s="123"/>
      <c r="PG39" s="123"/>
      <c r="PH39" s="123"/>
      <c r="PI39" s="123"/>
      <c r="PJ39" s="123"/>
      <c r="PK39" s="123"/>
      <c r="PL39" s="123"/>
      <c r="PM39" s="123"/>
      <c r="PN39" s="123"/>
      <c r="PO39" s="123"/>
      <c r="PP39" s="123"/>
      <c r="PQ39" s="123"/>
      <c r="PR39" s="123"/>
      <c r="PS39" s="123"/>
      <c r="PT39" s="123"/>
      <c r="PU39" s="123"/>
      <c r="PV39" s="123"/>
      <c r="PW39" s="123"/>
      <c r="PX39" s="123"/>
      <c r="PY39" s="123"/>
      <c r="PZ39" s="123"/>
      <c r="QA39" s="123"/>
      <c r="QB39" s="123"/>
      <c r="QC39" s="123"/>
      <c r="QD39" s="123"/>
      <c r="QE39" s="123"/>
      <c r="QF39" s="123"/>
      <c r="QG39" s="123"/>
    </row>
    <row r="40" spans="1:449" s="156" customFormat="1" ht="30" x14ac:dyDescent="0.25">
      <c r="A40" s="159" t="s">
        <v>76</v>
      </c>
      <c r="B40" s="164">
        <f>+(VLOOKUP(A40,'Ejercicio 1'!$M$40:$R$80,2,FALSE))*VLOOKUP(A40,'Ejercicio 1'!$E$40:$I$80,4,FALSE)</f>
        <v>102007.49999999997</v>
      </c>
      <c r="C40" s="61" t="str">
        <f>+VLOOKUP(A40,'Ejercicio 1'!$E$40:$I$80,5,FALSE)</f>
        <v>u</v>
      </c>
      <c r="D40" s="160">
        <f>+(VLOOKUP(A40,'Ejercicio 1'!$M$40:$R$80,4,FALSE)+VLOOKUP(A40,'Ejercicio 1'!$M$40:$R$80,5,FALSE))*VLOOKUP(A40,'Ejercicio 1'!$E$40:$I$80,4,FALSE)/11</f>
        <v>9182.045454545454</v>
      </c>
      <c r="E40" s="168">
        <v>2</v>
      </c>
      <c r="F40" s="199">
        <f>20000+G40</f>
        <v>20000</v>
      </c>
      <c r="G40" s="200"/>
      <c r="H40" s="199">
        <f t="shared" si="14"/>
        <v>10817.954545454546</v>
      </c>
      <c r="I40" s="200"/>
      <c r="J40" s="199">
        <f t="shared" si="1"/>
        <v>52639.659090909074</v>
      </c>
      <c r="K40" s="200">
        <f t="shared" si="63"/>
        <v>51003.749999999985</v>
      </c>
      <c r="L40" s="199">
        <f t="shared" si="2"/>
        <v>43457.613636363618</v>
      </c>
      <c r="M40" s="200"/>
      <c r="N40" s="199">
        <f t="shared" si="3"/>
        <v>34275.568181818162</v>
      </c>
      <c r="O40" s="200"/>
      <c r="P40" s="199">
        <f t="shared" si="5"/>
        <v>25093.522727272706</v>
      </c>
      <c r="Q40" s="200"/>
      <c r="R40" s="199">
        <f t="shared" si="6"/>
        <v>15911.477272727252</v>
      </c>
      <c r="S40" s="200"/>
      <c r="T40" s="199">
        <f t="shared" si="8"/>
        <v>57733.18181818178</v>
      </c>
      <c r="U40" s="200">
        <f t="shared" si="64"/>
        <v>51003.749999999985</v>
      </c>
      <c r="V40" s="199">
        <f t="shared" si="9"/>
        <v>48551.136363636324</v>
      </c>
      <c r="W40" s="200"/>
      <c r="X40" s="199">
        <f t="shared" si="10"/>
        <v>39369.090909090868</v>
      </c>
      <c r="Y40" s="200"/>
      <c r="Z40" s="199">
        <f t="shared" si="12"/>
        <v>30187.045454545412</v>
      </c>
      <c r="AA40" s="200"/>
      <c r="AB40" s="199">
        <f t="shared" si="12"/>
        <v>21004.999999999956</v>
      </c>
      <c r="AC40" s="200"/>
      <c r="AD40" s="125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  <c r="IV40" s="123"/>
      <c r="IW40" s="123"/>
      <c r="IX40" s="123"/>
      <c r="IY40" s="123"/>
      <c r="IZ40" s="123"/>
      <c r="JA40" s="123"/>
      <c r="JB40" s="123"/>
      <c r="JC40" s="123"/>
      <c r="JD40" s="123"/>
      <c r="JE40" s="123"/>
      <c r="JF40" s="123"/>
      <c r="JG40" s="123"/>
      <c r="JH40" s="123"/>
      <c r="JI40" s="123"/>
      <c r="JJ40" s="123"/>
      <c r="JK40" s="123"/>
      <c r="JL40" s="123"/>
      <c r="JM40" s="123"/>
      <c r="JN40" s="123"/>
      <c r="JO40" s="123"/>
      <c r="JP40" s="123"/>
      <c r="JQ40" s="123"/>
      <c r="JR40" s="123"/>
      <c r="JS40" s="123"/>
      <c r="JT40" s="123"/>
      <c r="JU40" s="123"/>
      <c r="JV40" s="123"/>
      <c r="JW40" s="123"/>
      <c r="JX40" s="123"/>
      <c r="JY40" s="123"/>
      <c r="JZ40" s="123"/>
      <c r="KA40" s="123"/>
      <c r="KB40" s="123"/>
      <c r="KC40" s="123"/>
      <c r="KD40" s="123"/>
      <c r="KE40" s="123"/>
      <c r="KF40" s="123"/>
      <c r="KG40" s="123"/>
      <c r="KH40" s="123"/>
      <c r="KI40" s="123"/>
      <c r="KJ40" s="123"/>
      <c r="KK40" s="123"/>
      <c r="KL40" s="123"/>
      <c r="KM40" s="123"/>
      <c r="KN40" s="123"/>
      <c r="KO40" s="123"/>
      <c r="KP40" s="123"/>
      <c r="KQ40" s="123"/>
      <c r="KR40" s="123"/>
      <c r="KS40" s="123"/>
      <c r="KT40" s="123"/>
      <c r="KU40" s="123"/>
      <c r="KV40" s="123"/>
      <c r="KW40" s="123"/>
      <c r="KX40" s="123"/>
      <c r="KY40" s="123"/>
      <c r="KZ40" s="123"/>
      <c r="LA40" s="123"/>
      <c r="LB40" s="123"/>
      <c r="LC40" s="123"/>
      <c r="LD40" s="123"/>
      <c r="LE40" s="123"/>
      <c r="LF40" s="123"/>
      <c r="LG40" s="123"/>
      <c r="LH40" s="123"/>
      <c r="LI40" s="123"/>
      <c r="LJ40" s="123"/>
      <c r="LK40" s="123"/>
      <c r="LL40" s="123"/>
      <c r="LM40" s="123"/>
      <c r="LN40" s="123"/>
      <c r="LO40" s="123"/>
      <c r="LP40" s="123"/>
      <c r="LQ40" s="123"/>
      <c r="LR40" s="123"/>
      <c r="LS40" s="123"/>
      <c r="LT40" s="123"/>
      <c r="LU40" s="123"/>
      <c r="LV40" s="123"/>
      <c r="LW40" s="123"/>
      <c r="LX40" s="123"/>
      <c r="LY40" s="123"/>
      <c r="LZ40" s="123"/>
      <c r="MA40" s="123"/>
      <c r="MB40" s="123"/>
      <c r="MC40" s="123"/>
      <c r="MD40" s="123"/>
      <c r="ME40" s="123"/>
      <c r="MF40" s="123"/>
      <c r="MG40" s="123"/>
      <c r="MH40" s="123"/>
      <c r="MI40" s="123"/>
      <c r="MJ40" s="123"/>
      <c r="MK40" s="123"/>
      <c r="ML40" s="123"/>
      <c r="MM40" s="123"/>
      <c r="MN40" s="123"/>
      <c r="MO40" s="123"/>
      <c r="MP40" s="123"/>
      <c r="MQ40" s="123"/>
      <c r="MR40" s="123"/>
      <c r="MS40" s="123"/>
      <c r="MT40" s="123"/>
      <c r="MU40" s="123"/>
      <c r="MV40" s="123"/>
      <c r="MW40" s="123"/>
      <c r="MX40" s="123"/>
      <c r="MY40" s="123"/>
      <c r="MZ40" s="123"/>
      <c r="NA40" s="123"/>
      <c r="NB40" s="123"/>
      <c r="NC40" s="123"/>
      <c r="ND40" s="123"/>
      <c r="NE40" s="123"/>
      <c r="NF40" s="123"/>
      <c r="NG40" s="123"/>
      <c r="NH40" s="123"/>
      <c r="NI40" s="123"/>
      <c r="NJ40" s="123"/>
      <c r="NK40" s="123"/>
      <c r="NL40" s="123"/>
      <c r="NM40" s="123"/>
      <c r="NN40" s="123"/>
      <c r="NO40" s="123"/>
      <c r="NP40" s="123"/>
      <c r="NQ40" s="123"/>
      <c r="NR40" s="123"/>
      <c r="NS40" s="123"/>
      <c r="NT40" s="123"/>
      <c r="NU40" s="123"/>
      <c r="NV40" s="123"/>
      <c r="NW40" s="123"/>
      <c r="NX40" s="123"/>
      <c r="NY40" s="123"/>
      <c r="NZ40" s="123"/>
      <c r="OA40" s="123"/>
      <c r="OB40" s="123"/>
      <c r="OC40" s="123"/>
      <c r="OD40" s="123"/>
      <c r="OE40" s="123"/>
      <c r="OF40" s="123"/>
      <c r="OG40" s="123"/>
      <c r="OH40" s="123"/>
      <c r="OI40" s="123"/>
      <c r="OJ40" s="123"/>
      <c r="OK40" s="123"/>
      <c r="OL40" s="123"/>
      <c r="OM40" s="123"/>
      <c r="ON40" s="123"/>
      <c r="OO40" s="123"/>
      <c r="OP40" s="123"/>
      <c r="OQ40" s="123"/>
      <c r="OR40" s="123"/>
      <c r="OS40" s="123"/>
      <c r="OT40" s="123"/>
      <c r="OU40" s="123"/>
      <c r="OV40" s="123"/>
      <c r="OW40" s="123"/>
      <c r="OX40" s="123"/>
      <c r="OY40" s="123"/>
      <c r="OZ40" s="123"/>
      <c r="PA40" s="123"/>
      <c r="PB40" s="123"/>
      <c r="PC40" s="123"/>
      <c r="PD40" s="123"/>
      <c r="PE40" s="123"/>
      <c r="PF40" s="123"/>
      <c r="PG40" s="123"/>
      <c r="PH40" s="123"/>
      <c r="PI40" s="123"/>
      <c r="PJ40" s="123"/>
      <c r="PK40" s="123"/>
      <c r="PL40" s="123"/>
      <c r="PM40" s="123"/>
      <c r="PN40" s="123"/>
      <c r="PO40" s="123"/>
      <c r="PP40" s="123"/>
      <c r="PQ40" s="123"/>
      <c r="PR40" s="123"/>
      <c r="PS40" s="123"/>
      <c r="PT40" s="123"/>
      <c r="PU40" s="123"/>
      <c r="PV40" s="123"/>
      <c r="PW40" s="123"/>
      <c r="PX40" s="123"/>
      <c r="PY40" s="123"/>
      <c r="PZ40" s="123"/>
      <c r="QA40" s="123"/>
      <c r="QB40" s="123"/>
      <c r="QC40" s="123"/>
      <c r="QD40" s="123"/>
      <c r="QE40" s="123"/>
      <c r="QF40" s="123"/>
      <c r="QG40" s="123"/>
    </row>
    <row r="41" spans="1:449" s="156" customFormat="1" ht="30" x14ac:dyDescent="0.25">
      <c r="A41" s="159" t="s">
        <v>72</v>
      </c>
      <c r="B41" s="164">
        <f>+(VLOOKUP(A41,'Ejercicio 1'!$M$40:$R$80,2,FALSE))*VLOOKUP(A41,'Ejercicio 1'!$E$40:$I$80,4,FALSE)</f>
        <v>102007.49999999997</v>
      </c>
      <c r="C41" s="61" t="str">
        <f>+VLOOKUP(A41,'Ejercicio 1'!$E$40:$I$80,5,FALSE)</f>
        <v>u</v>
      </c>
      <c r="D41" s="160">
        <f>+(VLOOKUP(A41,'Ejercicio 1'!$M$40:$R$80,4,FALSE)+VLOOKUP(A41,'Ejercicio 1'!$M$40:$R$80,5,FALSE))*VLOOKUP(A41,'Ejercicio 1'!$E$40:$I$80,4,FALSE)/11</f>
        <v>9182.045454545454</v>
      </c>
      <c r="E41" s="168">
        <v>2</v>
      </c>
      <c r="F41" s="199">
        <f>20000+G41</f>
        <v>20000</v>
      </c>
      <c r="G41" s="200"/>
      <c r="H41" s="199">
        <f t="shared" si="14"/>
        <v>10817.954545454546</v>
      </c>
      <c r="I41" s="200"/>
      <c r="J41" s="199">
        <f t="shared" si="1"/>
        <v>52639.659090909074</v>
      </c>
      <c r="K41" s="200">
        <f t="shared" si="63"/>
        <v>51003.749999999985</v>
      </c>
      <c r="L41" s="199">
        <f t="shared" si="2"/>
        <v>43457.613636363618</v>
      </c>
      <c r="M41" s="200"/>
      <c r="N41" s="199">
        <f t="shared" si="3"/>
        <v>34275.568181818162</v>
      </c>
      <c r="O41" s="200"/>
      <c r="P41" s="199">
        <f t="shared" si="5"/>
        <v>25093.522727272706</v>
      </c>
      <c r="Q41" s="200"/>
      <c r="R41" s="199">
        <f t="shared" si="6"/>
        <v>15911.477272727252</v>
      </c>
      <c r="S41" s="200"/>
      <c r="T41" s="199">
        <f t="shared" si="8"/>
        <v>57733.18181818178</v>
      </c>
      <c r="U41" s="200">
        <f t="shared" si="64"/>
        <v>51003.749999999985</v>
      </c>
      <c r="V41" s="199">
        <f t="shared" si="9"/>
        <v>48551.136363636324</v>
      </c>
      <c r="W41" s="200"/>
      <c r="X41" s="199">
        <f t="shared" si="10"/>
        <v>39369.090909090868</v>
      </c>
      <c r="Y41" s="200"/>
      <c r="Z41" s="199">
        <f t="shared" si="12"/>
        <v>30187.045454545412</v>
      </c>
      <c r="AA41" s="200"/>
      <c r="AB41" s="199">
        <f t="shared" si="12"/>
        <v>21004.999999999956</v>
      </c>
      <c r="AC41" s="200"/>
      <c r="AD41" s="125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23"/>
      <c r="IS41" s="123"/>
      <c r="IT41" s="123"/>
      <c r="IU41" s="123"/>
      <c r="IV41" s="123"/>
      <c r="IW41" s="123"/>
      <c r="IX41" s="123"/>
      <c r="IY41" s="123"/>
      <c r="IZ41" s="123"/>
      <c r="JA41" s="123"/>
      <c r="JB41" s="123"/>
      <c r="JC41" s="123"/>
      <c r="JD41" s="123"/>
      <c r="JE41" s="123"/>
      <c r="JF41" s="123"/>
      <c r="JG41" s="123"/>
      <c r="JH41" s="123"/>
      <c r="JI41" s="123"/>
      <c r="JJ41" s="123"/>
      <c r="JK41" s="123"/>
      <c r="JL41" s="123"/>
      <c r="JM41" s="123"/>
      <c r="JN41" s="123"/>
      <c r="JO41" s="123"/>
      <c r="JP41" s="123"/>
      <c r="JQ41" s="123"/>
      <c r="JR41" s="123"/>
      <c r="JS41" s="123"/>
      <c r="JT41" s="123"/>
      <c r="JU41" s="123"/>
      <c r="JV41" s="123"/>
      <c r="JW41" s="123"/>
      <c r="JX41" s="123"/>
      <c r="JY41" s="123"/>
      <c r="JZ41" s="123"/>
      <c r="KA41" s="123"/>
      <c r="KB41" s="123"/>
      <c r="KC41" s="123"/>
      <c r="KD41" s="123"/>
      <c r="KE41" s="123"/>
      <c r="KF41" s="123"/>
      <c r="KG41" s="123"/>
      <c r="KH41" s="123"/>
      <c r="KI41" s="123"/>
      <c r="KJ41" s="123"/>
      <c r="KK41" s="123"/>
      <c r="KL41" s="123"/>
      <c r="KM41" s="123"/>
      <c r="KN41" s="123"/>
      <c r="KO41" s="123"/>
      <c r="KP41" s="123"/>
      <c r="KQ41" s="123"/>
      <c r="KR41" s="123"/>
      <c r="KS41" s="123"/>
      <c r="KT41" s="123"/>
      <c r="KU41" s="123"/>
      <c r="KV41" s="123"/>
      <c r="KW41" s="123"/>
      <c r="KX41" s="123"/>
      <c r="KY41" s="123"/>
      <c r="KZ41" s="123"/>
      <c r="LA41" s="123"/>
      <c r="LB41" s="123"/>
      <c r="LC41" s="123"/>
      <c r="LD41" s="123"/>
      <c r="LE41" s="123"/>
      <c r="LF41" s="123"/>
      <c r="LG41" s="123"/>
      <c r="LH41" s="123"/>
      <c r="LI41" s="123"/>
      <c r="LJ41" s="123"/>
      <c r="LK41" s="123"/>
      <c r="LL41" s="123"/>
      <c r="LM41" s="123"/>
      <c r="LN41" s="123"/>
      <c r="LO41" s="123"/>
      <c r="LP41" s="123"/>
      <c r="LQ41" s="123"/>
      <c r="LR41" s="123"/>
      <c r="LS41" s="123"/>
      <c r="LT41" s="123"/>
      <c r="LU41" s="123"/>
      <c r="LV41" s="123"/>
      <c r="LW41" s="123"/>
      <c r="LX41" s="123"/>
      <c r="LY41" s="123"/>
      <c r="LZ41" s="123"/>
      <c r="MA41" s="123"/>
      <c r="MB41" s="123"/>
      <c r="MC41" s="123"/>
      <c r="MD41" s="123"/>
      <c r="ME41" s="123"/>
      <c r="MF41" s="123"/>
      <c r="MG41" s="123"/>
      <c r="MH41" s="123"/>
      <c r="MI41" s="123"/>
      <c r="MJ41" s="123"/>
      <c r="MK41" s="123"/>
      <c r="ML41" s="123"/>
      <c r="MM41" s="123"/>
      <c r="MN41" s="123"/>
      <c r="MO41" s="123"/>
      <c r="MP41" s="123"/>
      <c r="MQ41" s="123"/>
      <c r="MR41" s="123"/>
      <c r="MS41" s="123"/>
      <c r="MT41" s="123"/>
      <c r="MU41" s="123"/>
      <c r="MV41" s="123"/>
      <c r="MW41" s="123"/>
      <c r="MX41" s="123"/>
      <c r="MY41" s="123"/>
      <c r="MZ41" s="123"/>
      <c r="NA41" s="123"/>
      <c r="NB41" s="123"/>
      <c r="NC41" s="123"/>
      <c r="ND41" s="123"/>
      <c r="NE41" s="123"/>
      <c r="NF41" s="123"/>
      <c r="NG41" s="123"/>
      <c r="NH41" s="123"/>
      <c r="NI41" s="123"/>
      <c r="NJ41" s="123"/>
      <c r="NK41" s="123"/>
      <c r="NL41" s="123"/>
      <c r="NM41" s="123"/>
      <c r="NN41" s="123"/>
      <c r="NO41" s="123"/>
      <c r="NP41" s="123"/>
      <c r="NQ41" s="123"/>
      <c r="NR41" s="123"/>
      <c r="NS41" s="123"/>
      <c r="NT41" s="123"/>
      <c r="NU41" s="123"/>
      <c r="NV41" s="123"/>
      <c r="NW41" s="123"/>
      <c r="NX41" s="123"/>
      <c r="NY41" s="123"/>
      <c r="NZ41" s="123"/>
      <c r="OA41" s="123"/>
      <c r="OB41" s="123"/>
      <c r="OC41" s="123"/>
      <c r="OD41" s="123"/>
      <c r="OE41" s="123"/>
      <c r="OF41" s="123"/>
      <c r="OG41" s="123"/>
      <c r="OH41" s="123"/>
      <c r="OI41" s="123"/>
      <c r="OJ41" s="123"/>
      <c r="OK41" s="123"/>
      <c r="OL41" s="123"/>
      <c r="OM41" s="123"/>
      <c r="ON41" s="123"/>
      <c r="OO41" s="123"/>
      <c r="OP41" s="123"/>
      <c r="OQ41" s="123"/>
      <c r="OR41" s="123"/>
      <c r="OS41" s="123"/>
      <c r="OT41" s="123"/>
      <c r="OU41" s="123"/>
      <c r="OV41" s="123"/>
      <c r="OW41" s="123"/>
      <c r="OX41" s="123"/>
      <c r="OY41" s="123"/>
      <c r="OZ41" s="123"/>
      <c r="PA41" s="123"/>
      <c r="PB41" s="123"/>
      <c r="PC41" s="123"/>
      <c r="PD41" s="123"/>
      <c r="PE41" s="123"/>
      <c r="PF41" s="123"/>
      <c r="PG41" s="123"/>
      <c r="PH41" s="123"/>
      <c r="PI41" s="123"/>
      <c r="PJ41" s="123"/>
      <c r="PK41" s="123"/>
      <c r="PL41" s="123"/>
      <c r="PM41" s="123"/>
      <c r="PN41" s="123"/>
      <c r="PO41" s="123"/>
      <c r="PP41" s="123"/>
      <c r="PQ41" s="123"/>
      <c r="PR41" s="123"/>
      <c r="PS41" s="123"/>
      <c r="PT41" s="123"/>
      <c r="PU41" s="123"/>
      <c r="PV41" s="123"/>
      <c r="PW41" s="123"/>
      <c r="PX41" s="123"/>
      <c r="PY41" s="123"/>
      <c r="PZ41" s="123"/>
      <c r="QA41" s="123"/>
      <c r="QB41" s="123"/>
      <c r="QC41" s="123"/>
      <c r="QD41" s="123"/>
      <c r="QE41" s="123"/>
      <c r="QF41" s="123"/>
      <c r="QG41" s="123"/>
    </row>
    <row r="42" spans="1:449" s="156" customFormat="1" x14ac:dyDescent="0.25">
      <c r="A42" s="159" t="s">
        <v>36</v>
      </c>
      <c r="B42" s="164">
        <f>+(VLOOKUP(A42,'Ejercicio 1'!$M$40:$R$80,2,FALSE))*VLOOKUP(A42,'Ejercicio 1'!$E$40:$I$80,4,FALSE)</f>
        <v>507524.99999999994</v>
      </c>
      <c r="C42" s="61" t="str">
        <f>+VLOOKUP(A42,'Ejercicio 1'!$E$40:$I$80,5,FALSE)</f>
        <v>u</v>
      </c>
      <c r="D42" s="160">
        <f>+(VLOOKUP(A42,'Ejercicio 1'!$M$40:$R$80,4,FALSE)+VLOOKUP(A42,'Ejercicio 1'!$M$40:$R$80,5,FALSE))*VLOOKUP(A42,'Ejercicio 1'!$E$40:$I$80,4,FALSE)/11</f>
        <v>46138.63636363636</v>
      </c>
      <c r="E42" s="168">
        <v>3</v>
      </c>
      <c r="F42" s="199">
        <f>90000+G42</f>
        <v>259174.99999999997</v>
      </c>
      <c r="G42" s="200">
        <f t="shared" ref="G42" si="65">+$B42/$E42</f>
        <v>169174.99999999997</v>
      </c>
      <c r="H42" s="199">
        <f t="shared" si="14"/>
        <v>213036.36363636362</v>
      </c>
      <c r="I42" s="200"/>
      <c r="J42" s="199">
        <f t="shared" si="1"/>
        <v>166897.72727272726</v>
      </c>
      <c r="K42" s="200"/>
      <c r="L42" s="199">
        <f t="shared" si="2"/>
        <v>120759.09090909091</v>
      </c>
      <c r="M42" s="200"/>
      <c r="N42" s="199">
        <f t="shared" si="3"/>
        <v>74620.454545454559</v>
      </c>
      <c r="O42" s="200"/>
      <c r="P42" s="199">
        <f t="shared" si="5"/>
        <v>197656.81818181818</v>
      </c>
      <c r="Q42" s="200">
        <f t="shared" ref="Q42" si="66">+$B42/$E42</f>
        <v>169174.99999999997</v>
      </c>
      <c r="R42" s="199">
        <f t="shared" si="6"/>
        <v>151518.18181818182</v>
      </c>
      <c r="S42" s="200"/>
      <c r="T42" s="199">
        <f t="shared" si="8"/>
        <v>105379.54545454547</v>
      </c>
      <c r="U42" s="200"/>
      <c r="V42" s="199">
        <f t="shared" si="9"/>
        <v>59240.90909090911</v>
      </c>
      <c r="W42" s="200"/>
      <c r="X42" s="199">
        <f t="shared" si="10"/>
        <v>13102.27272727275</v>
      </c>
      <c r="Y42" s="200"/>
      <c r="Z42" s="199">
        <f t="shared" si="12"/>
        <v>136138.63636363635</v>
      </c>
      <c r="AA42" s="200">
        <f t="shared" ref="AA42" si="67">+$B42/$E42</f>
        <v>169174.99999999997</v>
      </c>
      <c r="AB42" s="199">
        <f t="shared" si="12"/>
        <v>90000</v>
      </c>
      <c r="AC42" s="200"/>
      <c r="AD42" s="125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3"/>
      <c r="IT42" s="123"/>
      <c r="IU42" s="123"/>
      <c r="IV42" s="123"/>
      <c r="IW42" s="123"/>
      <c r="IX42" s="123"/>
      <c r="IY42" s="123"/>
      <c r="IZ42" s="123"/>
      <c r="JA42" s="123"/>
      <c r="JB42" s="123"/>
      <c r="JC42" s="123"/>
      <c r="JD42" s="123"/>
      <c r="JE42" s="123"/>
      <c r="JF42" s="123"/>
      <c r="JG42" s="123"/>
      <c r="JH42" s="123"/>
      <c r="JI42" s="123"/>
      <c r="JJ42" s="123"/>
      <c r="JK42" s="123"/>
      <c r="JL42" s="123"/>
      <c r="JM42" s="123"/>
      <c r="JN42" s="123"/>
      <c r="JO42" s="123"/>
      <c r="JP42" s="123"/>
      <c r="JQ42" s="123"/>
      <c r="JR42" s="123"/>
      <c r="JS42" s="123"/>
      <c r="JT42" s="123"/>
      <c r="JU42" s="123"/>
      <c r="JV42" s="123"/>
      <c r="JW42" s="123"/>
      <c r="JX42" s="123"/>
      <c r="JY42" s="123"/>
      <c r="JZ42" s="123"/>
      <c r="KA42" s="123"/>
      <c r="KB42" s="123"/>
      <c r="KC42" s="123"/>
      <c r="KD42" s="123"/>
      <c r="KE42" s="123"/>
      <c r="KF42" s="123"/>
      <c r="KG42" s="123"/>
      <c r="KH42" s="123"/>
      <c r="KI42" s="123"/>
      <c r="KJ42" s="123"/>
      <c r="KK42" s="123"/>
      <c r="KL42" s="123"/>
      <c r="KM42" s="123"/>
      <c r="KN42" s="123"/>
      <c r="KO42" s="123"/>
      <c r="KP42" s="123"/>
      <c r="KQ42" s="123"/>
      <c r="KR42" s="123"/>
      <c r="KS42" s="123"/>
      <c r="KT42" s="123"/>
      <c r="KU42" s="123"/>
      <c r="KV42" s="123"/>
      <c r="KW42" s="123"/>
      <c r="KX42" s="123"/>
      <c r="KY42" s="123"/>
      <c r="KZ42" s="123"/>
      <c r="LA42" s="123"/>
      <c r="LB42" s="123"/>
      <c r="LC42" s="123"/>
      <c r="LD42" s="123"/>
      <c r="LE42" s="123"/>
      <c r="LF42" s="123"/>
      <c r="LG42" s="123"/>
      <c r="LH42" s="123"/>
      <c r="LI42" s="123"/>
      <c r="LJ42" s="123"/>
      <c r="LK42" s="123"/>
      <c r="LL42" s="123"/>
      <c r="LM42" s="123"/>
      <c r="LN42" s="123"/>
      <c r="LO42" s="123"/>
      <c r="LP42" s="123"/>
      <c r="LQ42" s="123"/>
      <c r="LR42" s="123"/>
      <c r="LS42" s="123"/>
      <c r="LT42" s="123"/>
      <c r="LU42" s="123"/>
      <c r="LV42" s="123"/>
      <c r="LW42" s="123"/>
      <c r="LX42" s="123"/>
      <c r="LY42" s="123"/>
      <c r="LZ42" s="123"/>
      <c r="MA42" s="123"/>
      <c r="MB42" s="123"/>
      <c r="MC42" s="123"/>
      <c r="MD42" s="123"/>
      <c r="ME42" s="123"/>
      <c r="MF42" s="123"/>
      <c r="MG42" s="123"/>
      <c r="MH42" s="123"/>
      <c r="MI42" s="123"/>
      <c r="MJ42" s="123"/>
      <c r="MK42" s="123"/>
      <c r="ML42" s="123"/>
      <c r="MM42" s="123"/>
      <c r="MN42" s="123"/>
      <c r="MO42" s="123"/>
      <c r="MP42" s="123"/>
      <c r="MQ42" s="123"/>
      <c r="MR42" s="123"/>
      <c r="MS42" s="123"/>
      <c r="MT42" s="123"/>
      <c r="MU42" s="123"/>
      <c r="MV42" s="123"/>
      <c r="MW42" s="123"/>
      <c r="MX42" s="123"/>
      <c r="MY42" s="123"/>
      <c r="MZ42" s="123"/>
      <c r="NA42" s="123"/>
      <c r="NB42" s="123"/>
      <c r="NC42" s="123"/>
      <c r="ND42" s="123"/>
      <c r="NE42" s="123"/>
      <c r="NF42" s="123"/>
      <c r="NG42" s="123"/>
      <c r="NH42" s="123"/>
      <c r="NI42" s="123"/>
      <c r="NJ42" s="123"/>
      <c r="NK42" s="123"/>
      <c r="NL42" s="123"/>
      <c r="NM42" s="123"/>
      <c r="NN42" s="123"/>
      <c r="NO42" s="123"/>
      <c r="NP42" s="123"/>
      <c r="NQ42" s="123"/>
      <c r="NR42" s="123"/>
      <c r="NS42" s="123"/>
      <c r="NT42" s="123"/>
      <c r="NU42" s="123"/>
      <c r="NV42" s="123"/>
      <c r="NW42" s="123"/>
      <c r="NX42" s="123"/>
      <c r="NY42" s="123"/>
      <c r="NZ42" s="123"/>
      <c r="OA42" s="123"/>
      <c r="OB42" s="123"/>
      <c r="OC42" s="123"/>
      <c r="OD42" s="123"/>
      <c r="OE42" s="123"/>
      <c r="OF42" s="123"/>
      <c r="OG42" s="123"/>
      <c r="OH42" s="123"/>
      <c r="OI42" s="123"/>
      <c r="OJ42" s="123"/>
      <c r="OK42" s="123"/>
      <c r="OL42" s="123"/>
      <c r="OM42" s="123"/>
      <c r="ON42" s="123"/>
      <c r="OO42" s="123"/>
      <c r="OP42" s="123"/>
      <c r="OQ42" s="123"/>
      <c r="OR42" s="123"/>
      <c r="OS42" s="123"/>
      <c r="OT42" s="123"/>
      <c r="OU42" s="123"/>
      <c r="OV42" s="123"/>
      <c r="OW42" s="123"/>
      <c r="OX42" s="123"/>
      <c r="OY42" s="123"/>
      <c r="OZ42" s="123"/>
      <c r="PA42" s="123"/>
      <c r="PB42" s="123"/>
      <c r="PC42" s="123"/>
      <c r="PD42" s="123"/>
      <c r="PE42" s="123"/>
      <c r="PF42" s="123"/>
      <c r="PG42" s="123"/>
      <c r="PH42" s="123"/>
      <c r="PI42" s="123"/>
      <c r="PJ42" s="123"/>
      <c r="PK42" s="123"/>
      <c r="PL42" s="123"/>
      <c r="PM42" s="123"/>
      <c r="PN42" s="123"/>
      <c r="PO42" s="123"/>
      <c r="PP42" s="123"/>
      <c r="PQ42" s="123"/>
      <c r="PR42" s="123"/>
      <c r="PS42" s="123"/>
      <c r="PT42" s="123"/>
      <c r="PU42" s="123"/>
      <c r="PV42" s="123"/>
      <c r="PW42" s="123"/>
      <c r="PX42" s="123"/>
      <c r="PY42" s="123"/>
      <c r="PZ42" s="123"/>
      <c r="QA42" s="123"/>
      <c r="QB42" s="123"/>
      <c r="QC42" s="123"/>
      <c r="QD42" s="123"/>
      <c r="QE42" s="123"/>
      <c r="QF42" s="123"/>
      <c r="QG42" s="123"/>
    </row>
    <row r="43" spans="1:449" s="156" customFormat="1" ht="30.75" thickBot="1" x14ac:dyDescent="0.3">
      <c r="A43" s="159" t="s">
        <v>53</v>
      </c>
      <c r="B43" s="165">
        <f>+(VLOOKUP(A43,'Ejercicio 1'!$M$40:$R$80,2,FALSE))*VLOOKUP(A43,'Ejercicio 1'!$E$40:$I$80,4,FALSE)</f>
        <v>153011.24999999994</v>
      </c>
      <c r="C43" s="64" t="str">
        <f>+VLOOKUP(A43,'Ejercicio 1'!$E$40:$I$80,5,FALSE)</f>
        <v>u</v>
      </c>
      <c r="D43" s="166">
        <f>+(VLOOKUP(A43,'Ejercicio 1'!$M$40:$R$80,4,FALSE)+VLOOKUP(A43,'Ejercicio 1'!$M$40:$R$80,5,FALSE))*VLOOKUP(A43,'Ejercicio 1'!$E$40:$I$80,4,FALSE)/11</f>
        <v>13773.068181818182</v>
      </c>
      <c r="E43" s="169">
        <v>2</v>
      </c>
      <c r="F43" s="201">
        <f>23000+G43</f>
        <v>23000</v>
      </c>
      <c r="G43" s="202"/>
      <c r="H43" s="201">
        <f t="shared" ref="H43" si="68">+F43+I43-$D43</f>
        <v>9226.931818181818</v>
      </c>
      <c r="I43" s="202"/>
      <c r="J43" s="201">
        <f t="shared" ref="J43" si="69">+H43+K43-$D43</f>
        <v>71959.488636363618</v>
      </c>
      <c r="K43" s="202">
        <f t="shared" si="63"/>
        <v>76505.624999999971</v>
      </c>
      <c r="L43" s="201">
        <f t="shared" ref="L43" si="70">+J43+M43-$D43</f>
        <v>58186.420454545434</v>
      </c>
      <c r="M43" s="202"/>
      <c r="N43" s="201">
        <f t="shared" ref="N43" si="71">+L43+O43-$D43</f>
        <v>44413.35227272725</v>
      </c>
      <c r="O43" s="202"/>
      <c r="P43" s="201">
        <f t="shared" ref="P43" si="72">+N43+Q43-$D43</f>
        <v>30640.284090909066</v>
      </c>
      <c r="Q43" s="202"/>
      <c r="R43" s="201">
        <f t="shared" ref="R43" si="73">+P43+S43-$D43</f>
        <v>16867.215909090883</v>
      </c>
      <c r="S43" s="202"/>
      <c r="T43" s="201">
        <f t="shared" ref="T43" si="74">+R43+U43-$D43</f>
        <v>79599.772727272677</v>
      </c>
      <c r="U43" s="202">
        <f t="shared" si="64"/>
        <v>76505.624999999971</v>
      </c>
      <c r="V43" s="201">
        <f t="shared" ref="V43" si="75">+T43+W43-$D43</f>
        <v>65826.7045454545</v>
      </c>
      <c r="W43" s="202"/>
      <c r="X43" s="201">
        <f t="shared" ref="X43" si="76">+V43+Y43-$D43</f>
        <v>52053.636363636317</v>
      </c>
      <c r="Y43" s="202"/>
      <c r="Z43" s="201">
        <f t="shared" ref="Z43" si="77">+X43+AA43-$D43</f>
        <v>38280.568181818133</v>
      </c>
      <c r="AA43" s="202"/>
      <c r="AB43" s="201">
        <f t="shared" ref="AB43" si="78">+Z43+AC43-$D43</f>
        <v>24507.499999999949</v>
      </c>
      <c r="AC43" s="202"/>
      <c r="AD43" s="125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  <c r="IV43" s="123"/>
      <c r="IW43" s="123"/>
      <c r="IX43" s="123"/>
      <c r="IY43" s="123"/>
      <c r="IZ43" s="123"/>
      <c r="JA43" s="123"/>
      <c r="JB43" s="123"/>
      <c r="JC43" s="123"/>
      <c r="JD43" s="123"/>
      <c r="JE43" s="123"/>
      <c r="JF43" s="123"/>
      <c r="JG43" s="123"/>
      <c r="JH43" s="123"/>
      <c r="JI43" s="123"/>
      <c r="JJ43" s="123"/>
      <c r="JK43" s="123"/>
      <c r="JL43" s="123"/>
      <c r="JM43" s="123"/>
      <c r="JN43" s="123"/>
      <c r="JO43" s="123"/>
      <c r="JP43" s="123"/>
      <c r="JQ43" s="123"/>
      <c r="JR43" s="123"/>
      <c r="JS43" s="123"/>
      <c r="JT43" s="123"/>
      <c r="JU43" s="123"/>
      <c r="JV43" s="123"/>
      <c r="JW43" s="123"/>
      <c r="JX43" s="123"/>
      <c r="JY43" s="123"/>
      <c r="JZ43" s="123"/>
      <c r="KA43" s="123"/>
      <c r="KB43" s="123"/>
      <c r="KC43" s="123"/>
      <c r="KD43" s="123"/>
      <c r="KE43" s="123"/>
      <c r="KF43" s="123"/>
      <c r="KG43" s="123"/>
      <c r="KH43" s="123"/>
      <c r="KI43" s="123"/>
      <c r="KJ43" s="123"/>
      <c r="KK43" s="123"/>
      <c r="KL43" s="123"/>
      <c r="KM43" s="123"/>
      <c r="KN43" s="123"/>
      <c r="KO43" s="123"/>
      <c r="KP43" s="123"/>
      <c r="KQ43" s="123"/>
      <c r="KR43" s="123"/>
      <c r="KS43" s="123"/>
      <c r="KT43" s="123"/>
      <c r="KU43" s="123"/>
      <c r="KV43" s="123"/>
      <c r="KW43" s="123"/>
      <c r="KX43" s="123"/>
      <c r="KY43" s="123"/>
      <c r="KZ43" s="123"/>
      <c r="LA43" s="123"/>
      <c r="LB43" s="123"/>
      <c r="LC43" s="123"/>
      <c r="LD43" s="123"/>
      <c r="LE43" s="123"/>
      <c r="LF43" s="123"/>
      <c r="LG43" s="123"/>
      <c r="LH43" s="123"/>
      <c r="LI43" s="123"/>
      <c r="LJ43" s="123"/>
      <c r="LK43" s="123"/>
      <c r="LL43" s="123"/>
      <c r="LM43" s="123"/>
      <c r="LN43" s="123"/>
      <c r="LO43" s="123"/>
      <c r="LP43" s="123"/>
      <c r="LQ43" s="123"/>
      <c r="LR43" s="123"/>
      <c r="LS43" s="123"/>
      <c r="LT43" s="123"/>
      <c r="LU43" s="123"/>
      <c r="LV43" s="123"/>
      <c r="LW43" s="123"/>
      <c r="LX43" s="123"/>
      <c r="LY43" s="123"/>
      <c r="LZ43" s="123"/>
      <c r="MA43" s="123"/>
      <c r="MB43" s="123"/>
      <c r="MC43" s="123"/>
      <c r="MD43" s="123"/>
      <c r="ME43" s="123"/>
      <c r="MF43" s="123"/>
      <c r="MG43" s="123"/>
      <c r="MH43" s="123"/>
      <c r="MI43" s="123"/>
      <c r="MJ43" s="123"/>
      <c r="MK43" s="123"/>
      <c r="ML43" s="123"/>
      <c r="MM43" s="123"/>
      <c r="MN43" s="123"/>
      <c r="MO43" s="123"/>
      <c r="MP43" s="123"/>
      <c r="MQ43" s="123"/>
      <c r="MR43" s="123"/>
      <c r="MS43" s="123"/>
      <c r="MT43" s="123"/>
      <c r="MU43" s="123"/>
      <c r="MV43" s="123"/>
      <c r="MW43" s="123"/>
      <c r="MX43" s="123"/>
      <c r="MY43" s="123"/>
      <c r="MZ43" s="123"/>
      <c r="NA43" s="123"/>
      <c r="NB43" s="123"/>
      <c r="NC43" s="123"/>
      <c r="ND43" s="123"/>
      <c r="NE43" s="123"/>
      <c r="NF43" s="123"/>
      <c r="NG43" s="123"/>
      <c r="NH43" s="123"/>
      <c r="NI43" s="123"/>
      <c r="NJ43" s="123"/>
      <c r="NK43" s="123"/>
      <c r="NL43" s="123"/>
      <c r="NM43" s="123"/>
      <c r="NN43" s="123"/>
      <c r="NO43" s="123"/>
      <c r="NP43" s="123"/>
      <c r="NQ43" s="123"/>
      <c r="NR43" s="123"/>
      <c r="NS43" s="123"/>
      <c r="NT43" s="123"/>
      <c r="NU43" s="123"/>
      <c r="NV43" s="123"/>
      <c r="NW43" s="123"/>
      <c r="NX43" s="123"/>
      <c r="NY43" s="123"/>
      <c r="NZ43" s="123"/>
      <c r="OA43" s="123"/>
      <c r="OB43" s="123"/>
      <c r="OC43" s="123"/>
      <c r="OD43" s="123"/>
      <c r="OE43" s="123"/>
      <c r="OF43" s="123"/>
      <c r="OG43" s="123"/>
      <c r="OH43" s="123"/>
      <c r="OI43" s="123"/>
      <c r="OJ43" s="123"/>
      <c r="OK43" s="123"/>
      <c r="OL43" s="123"/>
      <c r="OM43" s="123"/>
      <c r="ON43" s="123"/>
      <c r="OO43" s="123"/>
      <c r="OP43" s="123"/>
      <c r="OQ43" s="123"/>
      <c r="OR43" s="123"/>
      <c r="OS43" s="123"/>
      <c r="OT43" s="123"/>
      <c r="OU43" s="123"/>
      <c r="OV43" s="123"/>
      <c r="OW43" s="123"/>
      <c r="OX43" s="123"/>
      <c r="OY43" s="123"/>
      <c r="OZ43" s="123"/>
      <c r="PA43" s="123"/>
      <c r="PB43" s="123"/>
      <c r="PC43" s="123"/>
      <c r="PD43" s="123"/>
      <c r="PE43" s="123"/>
      <c r="PF43" s="123"/>
      <c r="PG43" s="123"/>
      <c r="PH43" s="123"/>
      <c r="PI43" s="123"/>
      <c r="PJ43" s="123"/>
      <c r="PK43" s="123"/>
      <c r="PL43" s="123"/>
      <c r="PM43" s="123"/>
      <c r="PN43" s="123"/>
      <c r="PO43" s="123"/>
      <c r="PP43" s="123"/>
      <c r="PQ43" s="123"/>
      <c r="PR43" s="123"/>
      <c r="PS43" s="123"/>
      <c r="PT43" s="123"/>
      <c r="PU43" s="123"/>
      <c r="PV43" s="123"/>
      <c r="PW43" s="123"/>
      <c r="PX43" s="123"/>
      <c r="PY43" s="123"/>
      <c r="PZ43" s="123"/>
      <c r="QA43" s="123"/>
      <c r="QB43" s="123"/>
      <c r="QC43" s="123"/>
      <c r="QD43" s="123"/>
      <c r="QE43" s="123"/>
      <c r="QF43" s="123"/>
      <c r="QG43" s="123"/>
    </row>
    <row r="46" spans="1:449" ht="15.75" thickBot="1" x14ac:dyDescent="0.3">
      <c r="A46" s="98" t="s">
        <v>264</v>
      </c>
    </row>
    <row r="47" spans="1:449" ht="15.75" thickBot="1" x14ac:dyDescent="0.3">
      <c r="A47" s="289" t="s">
        <v>265</v>
      </c>
      <c r="B47" s="290"/>
      <c r="C47" s="291"/>
      <c r="D47" s="189">
        <f>+COUNTIF(D49:D88,"&gt;0")</f>
        <v>12</v>
      </c>
      <c r="E47" s="190">
        <f t="shared" ref="E47:O47" si="79">+COUNTIF(E49:E88,"&gt;0")</f>
        <v>13</v>
      </c>
      <c r="F47" s="189">
        <f t="shared" si="79"/>
        <v>10</v>
      </c>
      <c r="G47" s="190">
        <f t="shared" si="79"/>
        <v>5</v>
      </c>
      <c r="H47" s="189">
        <f t="shared" si="79"/>
        <v>13</v>
      </c>
      <c r="I47" s="190">
        <f t="shared" si="79"/>
        <v>12</v>
      </c>
      <c r="J47" s="189">
        <f t="shared" si="79"/>
        <v>13</v>
      </c>
      <c r="K47" s="190">
        <f t="shared" si="79"/>
        <v>10</v>
      </c>
      <c r="L47" s="189">
        <f t="shared" si="79"/>
        <v>5</v>
      </c>
      <c r="M47" s="190">
        <f t="shared" si="79"/>
        <v>13</v>
      </c>
      <c r="N47" s="189">
        <f t="shared" si="79"/>
        <v>12</v>
      </c>
      <c r="O47" s="190">
        <f t="shared" si="79"/>
        <v>13</v>
      </c>
    </row>
    <row r="48" spans="1:449" ht="15.75" thickBot="1" x14ac:dyDescent="0.3">
      <c r="A48" s="175" t="s">
        <v>5</v>
      </c>
      <c r="B48" s="176" t="s">
        <v>240</v>
      </c>
      <c r="C48" s="177" t="s">
        <v>246</v>
      </c>
      <c r="D48" s="152" t="s">
        <v>247</v>
      </c>
      <c r="E48" s="188" t="s">
        <v>248</v>
      </c>
      <c r="F48" s="186" t="s">
        <v>249</v>
      </c>
      <c r="G48" s="188" t="s">
        <v>250</v>
      </c>
      <c r="H48" s="186" t="s">
        <v>251</v>
      </c>
      <c r="I48" s="188" t="s">
        <v>252</v>
      </c>
      <c r="J48" s="186" t="s">
        <v>253</v>
      </c>
      <c r="K48" s="188" t="s">
        <v>254</v>
      </c>
      <c r="L48" s="186" t="s">
        <v>255</v>
      </c>
      <c r="M48" s="188" t="s">
        <v>256</v>
      </c>
      <c r="N48" s="186" t="s">
        <v>257</v>
      </c>
      <c r="O48" s="188" t="s">
        <v>258</v>
      </c>
    </row>
    <row r="49" spans="1:15" x14ac:dyDescent="0.25">
      <c r="A49" s="178" t="str">
        <f>+A4</f>
        <v>Baquelita</v>
      </c>
      <c r="B49" s="174">
        <f t="shared" ref="B49:C49" si="80">+B4</f>
        <v>77265</v>
      </c>
      <c r="C49" s="179" t="str">
        <f t="shared" si="80"/>
        <v>kg</v>
      </c>
      <c r="D49" s="191">
        <f>+G4</f>
        <v>0</v>
      </c>
      <c r="E49" s="192">
        <f>+I4</f>
        <v>19316.25</v>
      </c>
      <c r="F49" s="191">
        <f>+K4</f>
        <v>0</v>
      </c>
      <c r="G49" s="192">
        <f>+M4</f>
        <v>0</v>
      </c>
      <c r="H49" s="191">
        <f>+O4</f>
        <v>19316.25</v>
      </c>
      <c r="I49" s="192">
        <f>+Q4</f>
        <v>0</v>
      </c>
      <c r="J49" s="191">
        <f>+S4</f>
        <v>19316.25</v>
      </c>
      <c r="K49" s="192">
        <f>+U4</f>
        <v>0</v>
      </c>
      <c r="L49" s="191">
        <f>+W4</f>
        <v>0</v>
      </c>
      <c r="M49" s="192">
        <f>+Y4</f>
        <v>19316.25</v>
      </c>
      <c r="N49" s="191">
        <f>+AA4</f>
        <v>0</v>
      </c>
      <c r="O49" s="193">
        <f>+AC4</f>
        <v>19316.25</v>
      </c>
    </row>
    <row r="50" spans="1:15" x14ac:dyDescent="0.25">
      <c r="A50" s="180" t="str">
        <f t="shared" ref="A50:C50" si="81">+A5</f>
        <v>Bateria</v>
      </c>
      <c r="B50" s="173">
        <f t="shared" si="81"/>
        <v>50500</v>
      </c>
      <c r="C50" s="181" t="str">
        <f t="shared" si="81"/>
        <v>u</v>
      </c>
      <c r="D50" s="191">
        <f t="shared" ref="D50:D88" si="82">+G5</f>
        <v>0</v>
      </c>
      <c r="E50" s="192">
        <f t="shared" ref="E50:E88" si="83">+I5</f>
        <v>12625</v>
      </c>
      <c r="F50" s="191">
        <f t="shared" ref="F50:F88" si="84">+K5</f>
        <v>0</v>
      </c>
      <c r="G50" s="192">
        <f t="shared" ref="G50:G88" si="85">+M5</f>
        <v>0</v>
      </c>
      <c r="H50" s="191">
        <f t="shared" ref="H50:H88" si="86">+O5</f>
        <v>12625</v>
      </c>
      <c r="I50" s="192">
        <f t="shared" ref="I50:I88" si="87">+Q5</f>
        <v>0</v>
      </c>
      <c r="J50" s="191">
        <f t="shared" ref="J50:J88" si="88">+S5</f>
        <v>12625</v>
      </c>
      <c r="K50" s="192">
        <f t="shared" ref="K50:K88" si="89">+U5</f>
        <v>0</v>
      </c>
      <c r="L50" s="191">
        <f t="shared" ref="L50:L88" si="90">+W5</f>
        <v>0</v>
      </c>
      <c r="M50" s="192">
        <f t="shared" ref="M50:M88" si="91">+Y5</f>
        <v>12625</v>
      </c>
      <c r="N50" s="191">
        <f t="shared" ref="N50:N88" si="92">+AA5</f>
        <v>0</v>
      </c>
      <c r="O50" s="193">
        <f t="shared" ref="O50:O88" si="93">+AC5</f>
        <v>12625</v>
      </c>
    </row>
    <row r="51" spans="1:15" x14ac:dyDescent="0.25">
      <c r="A51" s="180" t="str">
        <f t="shared" ref="A51:C51" si="94">+A6</f>
        <v>Bolsa Plastica</v>
      </c>
      <c r="B51" s="173">
        <f t="shared" si="94"/>
        <v>51000</v>
      </c>
      <c r="C51" s="181" t="str">
        <f t="shared" si="94"/>
        <v>u</v>
      </c>
      <c r="D51" s="191">
        <f t="shared" si="82"/>
        <v>0</v>
      </c>
      <c r="E51" s="192">
        <f t="shared" si="83"/>
        <v>12750</v>
      </c>
      <c r="F51" s="191">
        <f t="shared" si="84"/>
        <v>0</v>
      </c>
      <c r="G51" s="192">
        <f t="shared" si="85"/>
        <v>0</v>
      </c>
      <c r="H51" s="191">
        <f t="shared" si="86"/>
        <v>12750</v>
      </c>
      <c r="I51" s="192">
        <f t="shared" si="87"/>
        <v>0</v>
      </c>
      <c r="J51" s="191">
        <f t="shared" si="88"/>
        <v>12750</v>
      </c>
      <c r="K51" s="192">
        <f t="shared" si="89"/>
        <v>0</v>
      </c>
      <c r="L51" s="191">
        <f t="shared" si="90"/>
        <v>0</v>
      </c>
      <c r="M51" s="192">
        <f t="shared" si="91"/>
        <v>12750</v>
      </c>
      <c r="N51" s="191">
        <f t="shared" si="92"/>
        <v>0</v>
      </c>
      <c r="O51" s="193">
        <f t="shared" si="93"/>
        <v>12750</v>
      </c>
    </row>
    <row r="52" spans="1:15" x14ac:dyDescent="0.25">
      <c r="A52" s="180" t="str">
        <f t="shared" ref="A52:C52" si="95">+A7</f>
        <v>Cable</v>
      </c>
      <c r="B52" s="173">
        <f t="shared" si="95"/>
        <v>15450</v>
      </c>
      <c r="C52" s="181" t="str">
        <f t="shared" si="95"/>
        <v>mts</v>
      </c>
      <c r="D52" s="191">
        <f t="shared" si="82"/>
        <v>0</v>
      </c>
      <c r="E52" s="192">
        <f t="shared" si="83"/>
        <v>3862.5</v>
      </c>
      <c r="F52" s="191">
        <f t="shared" si="84"/>
        <v>0</v>
      </c>
      <c r="G52" s="192">
        <f t="shared" si="85"/>
        <v>0</v>
      </c>
      <c r="H52" s="191">
        <f t="shared" si="86"/>
        <v>3862.5</v>
      </c>
      <c r="I52" s="192">
        <f t="shared" si="87"/>
        <v>0</v>
      </c>
      <c r="J52" s="191">
        <f t="shared" si="88"/>
        <v>3862.5</v>
      </c>
      <c r="K52" s="192">
        <f t="shared" si="89"/>
        <v>0</v>
      </c>
      <c r="L52" s="191">
        <f t="shared" si="90"/>
        <v>0</v>
      </c>
      <c r="M52" s="192">
        <f t="shared" si="91"/>
        <v>3862.5</v>
      </c>
      <c r="N52" s="191">
        <f t="shared" si="92"/>
        <v>0</v>
      </c>
      <c r="O52" s="193">
        <f t="shared" si="93"/>
        <v>3862.5</v>
      </c>
    </row>
    <row r="53" spans="1:15" x14ac:dyDescent="0.25">
      <c r="A53" s="180" t="str">
        <f t="shared" ref="A53:C53" si="96">+A8</f>
        <v>Caja Carton</v>
      </c>
      <c r="B53" s="173">
        <f t="shared" si="96"/>
        <v>50500</v>
      </c>
      <c r="C53" s="181" t="str">
        <f t="shared" si="96"/>
        <v>u</v>
      </c>
      <c r="D53" s="191">
        <f t="shared" si="82"/>
        <v>0</v>
      </c>
      <c r="E53" s="192">
        <f t="shared" si="83"/>
        <v>12625</v>
      </c>
      <c r="F53" s="191">
        <f t="shared" si="84"/>
        <v>0</v>
      </c>
      <c r="G53" s="192">
        <f t="shared" si="85"/>
        <v>0</v>
      </c>
      <c r="H53" s="191">
        <f t="shared" si="86"/>
        <v>12625</v>
      </c>
      <c r="I53" s="192">
        <f t="shared" si="87"/>
        <v>0</v>
      </c>
      <c r="J53" s="191">
        <f t="shared" si="88"/>
        <v>12625</v>
      </c>
      <c r="K53" s="192">
        <f t="shared" si="89"/>
        <v>0</v>
      </c>
      <c r="L53" s="191">
        <f t="shared" si="90"/>
        <v>0</v>
      </c>
      <c r="M53" s="192">
        <f t="shared" si="91"/>
        <v>12625</v>
      </c>
      <c r="N53" s="191">
        <f t="shared" si="92"/>
        <v>0</v>
      </c>
      <c r="O53" s="193">
        <f t="shared" si="93"/>
        <v>12625</v>
      </c>
    </row>
    <row r="54" spans="1:15" x14ac:dyDescent="0.25">
      <c r="A54" s="180" t="str">
        <f t="shared" ref="A54:C54" si="97">+A9</f>
        <v>Capacitor electrolitico de 0,1 uf</v>
      </c>
      <c r="B54" s="173">
        <f t="shared" si="97"/>
        <v>470339.99999999994</v>
      </c>
      <c r="C54" s="181" t="str">
        <f t="shared" si="97"/>
        <v>u</v>
      </c>
      <c r="D54" s="191">
        <f t="shared" si="82"/>
        <v>0</v>
      </c>
      <c r="E54" s="192">
        <f t="shared" si="83"/>
        <v>0</v>
      </c>
      <c r="F54" s="191">
        <f t="shared" si="84"/>
        <v>235169.99999999997</v>
      </c>
      <c r="G54" s="192">
        <f t="shared" si="85"/>
        <v>0</v>
      </c>
      <c r="H54" s="191">
        <f t="shared" si="86"/>
        <v>0</v>
      </c>
      <c r="I54" s="192">
        <f t="shared" si="87"/>
        <v>0</v>
      </c>
      <c r="J54" s="191">
        <f t="shared" si="88"/>
        <v>0</v>
      </c>
      <c r="K54" s="192">
        <f t="shared" si="89"/>
        <v>235169.99999999997</v>
      </c>
      <c r="L54" s="191">
        <f t="shared" si="90"/>
        <v>0</v>
      </c>
      <c r="M54" s="192">
        <f t="shared" si="91"/>
        <v>0</v>
      </c>
      <c r="N54" s="191">
        <f t="shared" si="92"/>
        <v>0</v>
      </c>
      <c r="O54" s="193">
        <f t="shared" si="93"/>
        <v>0</v>
      </c>
    </row>
    <row r="55" spans="1:15" x14ac:dyDescent="0.25">
      <c r="A55" s="180" t="str">
        <f t="shared" ref="A55:C55" si="98">+A10</f>
        <v>Capacitor electrolitico de 1 uf</v>
      </c>
      <c r="B55" s="173">
        <f t="shared" si="98"/>
        <v>209039.99999999997</v>
      </c>
      <c r="C55" s="181" t="str">
        <f t="shared" si="98"/>
        <v>u</v>
      </c>
      <c r="D55" s="191">
        <f t="shared" si="82"/>
        <v>0</v>
      </c>
      <c r="E55" s="192">
        <f t="shared" si="83"/>
        <v>0</v>
      </c>
      <c r="F55" s="191">
        <f t="shared" si="84"/>
        <v>104519.99999999999</v>
      </c>
      <c r="G55" s="192">
        <f t="shared" si="85"/>
        <v>0</v>
      </c>
      <c r="H55" s="191">
        <f t="shared" si="86"/>
        <v>0</v>
      </c>
      <c r="I55" s="192">
        <f t="shared" si="87"/>
        <v>0</v>
      </c>
      <c r="J55" s="191">
        <f t="shared" si="88"/>
        <v>0</v>
      </c>
      <c r="K55" s="192">
        <f t="shared" si="89"/>
        <v>104519.99999999999</v>
      </c>
      <c r="L55" s="191">
        <f t="shared" si="90"/>
        <v>0</v>
      </c>
      <c r="M55" s="192">
        <f t="shared" si="91"/>
        <v>0</v>
      </c>
      <c r="N55" s="191">
        <f t="shared" si="92"/>
        <v>0</v>
      </c>
      <c r="O55" s="193">
        <f t="shared" si="93"/>
        <v>0</v>
      </c>
    </row>
    <row r="56" spans="1:15" x14ac:dyDescent="0.25">
      <c r="A56" s="180" t="str">
        <f t="shared" ref="A56:C56" si="99">+A11</f>
        <v>Capacitor electrolitico de 10 uf</v>
      </c>
      <c r="B56" s="173">
        <f t="shared" si="99"/>
        <v>52259.999999999993</v>
      </c>
      <c r="C56" s="181" t="str">
        <f t="shared" si="99"/>
        <v>u</v>
      </c>
      <c r="D56" s="191">
        <f t="shared" si="82"/>
        <v>17419.999999999996</v>
      </c>
      <c r="E56" s="192">
        <f t="shared" si="83"/>
        <v>0</v>
      </c>
      <c r="F56" s="191">
        <f t="shared" si="84"/>
        <v>0</v>
      </c>
      <c r="G56" s="192">
        <f t="shared" si="85"/>
        <v>0</v>
      </c>
      <c r="H56" s="191">
        <f t="shared" si="86"/>
        <v>0</v>
      </c>
      <c r="I56" s="192">
        <f t="shared" si="87"/>
        <v>17419.999999999996</v>
      </c>
      <c r="J56" s="191">
        <f t="shared" si="88"/>
        <v>0</v>
      </c>
      <c r="K56" s="192">
        <f t="shared" si="89"/>
        <v>0</v>
      </c>
      <c r="L56" s="191">
        <f t="shared" si="90"/>
        <v>0</v>
      </c>
      <c r="M56" s="192">
        <f t="shared" si="91"/>
        <v>0</v>
      </c>
      <c r="N56" s="191">
        <f t="shared" si="92"/>
        <v>17419.999999999996</v>
      </c>
      <c r="O56" s="193">
        <f t="shared" si="93"/>
        <v>0</v>
      </c>
    </row>
    <row r="57" spans="1:15" x14ac:dyDescent="0.25">
      <c r="A57" s="180" t="str">
        <f t="shared" ref="A57:C57" si="100">+A12</f>
        <v>Capacitor electrolitico de 22pf</v>
      </c>
      <c r="B57" s="173">
        <f t="shared" si="100"/>
        <v>104519.99999999999</v>
      </c>
      <c r="C57" s="181" t="str">
        <f t="shared" si="100"/>
        <v>u</v>
      </c>
      <c r="D57" s="191">
        <f t="shared" si="82"/>
        <v>0</v>
      </c>
      <c r="E57" s="192">
        <f t="shared" si="83"/>
        <v>0</v>
      </c>
      <c r="F57" s="191">
        <f t="shared" si="84"/>
        <v>52259.999999999993</v>
      </c>
      <c r="G57" s="192">
        <f t="shared" si="85"/>
        <v>0</v>
      </c>
      <c r="H57" s="191">
        <f t="shared" si="86"/>
        <v>0</v>
      </c>
      <c r="I57" s="192">
        <f t="shared" si="87"/>
        <v>0</v>
      </c>
      <c r="J57" s="191">
        <f t="shared" si="88"/>
        <v>0</v>
      </c>
      <c r="K57" s="192">
        <f t="shared" si="89"/>
        <v>52259.999999999993</v>
      </c>
      <c r="L57" s="191">
        <f t="shared" si="90"/>
        <v>0</v>
      </c>
      <c r="M57" s="192">
        <f t="shared" si="91"/>
        <v>0</v>
      </c>
      <c r="N57" s="191">
        <f t="shared" si="92"/>
        <v>0</v>
      </c>
      <c r="O57" s="193">
        <f t="shared" si="93"/>
        <v>0</v>
      </c>
    </row>
    <row r="58" spans="1:15" x14ac:dyDescent="0.25">
      <c r="A58" s="180" t="str">
        <f t="shared" ref="A58:C58" si="101">+A13</f>
        <v>Cargador</v>
      </c>
      <c r="B58" s="173">
        <f t="shared" si="101"/>
        <v>50500</v>
      </c>
      <c r="C58" s="181" t="str">
        <f t="shared" si="101"/>
        <v>u</v>
      </c>
      <c r="D58" s="191">
        <f t="shared" si="82"/>
        <v>16833.333333333332</v>
      </c>
      <c r="E58" s="192">
        <f t="shared" si="83"/>
        <v>0</v>
      </c>
      <c r="F58" s="191">
        <f t="shared" si="84"/>
        <v>0</v>
      </c>
      <c r="G58" s="192">
        <f t="shared" si="85"/>
        <v>0</v>
      </c>
      <c r="H58" s="191">
        <f t="shared" si="86"/>
        <v>0</v>
      </c>
      <c r="I58" s="192">
        <f t="shared" si="87"/>
        <v>16833.333333333332</v>
      </c>
      <c r="J58" s="191">
        <f t="shared" si="88"/>
        <v>0</v>
      </c>
      <c r="K58" s="192">
        <f t="shared" si="89"/>
        <v>0</v>
      </c>
      <c r="L58" s="191">
        <f t="shared" si="90"/>
        <v>0</v>
      </c>
      <c r="M58" s="192">
        <f t="shared" si="91"/>
        <v>0</v>
      </c>
      <c r="N58" s="191">
        <f t="shared" si="92"/>
        <v>16833.333333333332</v>
      </c>
      <c r="O58" s="193">
        <f t="shared" si="93"/>
        <v>0</v>
      </c>
    </row>
    <row r="59" spans="1:15" x14ac:dyDescent="0.25">
      <c r="A59" s="180" t="str">
        <f t="shared" ref="A59:C59" si="102">+A14</f>
        <v>Circuito integrado amplificador operacional TL082D</v>
      </c>
      <c r="B59" s="173">
        <f t="shared" si="102"/>
        <v>51510</v>
      </c>
      <c r="C59" s="181" t="str">
        <f t="shared" si="102"/>
        <v>u</v>
      </c>
      <c r="D59" s="191">
        <f t="shared" si="82"/>
        <v>0</v>
      </c>
      <c r="E59" s="192">
        <f t="shared" si="83"/>
        <v>12877.5</v>
      </c>
      <c r="F59" s="191">
        <f t="shared" si="84"/>
        <v>0</v>
      </c>
      <c r="G59" s="192">
        <f t="shared" si="85"/>
        <v>0</v>
      </c>
      <c r="H59" s="191">
        <f t="shared" si="86"/>
        <v>12877.5</v>
      </c>
      <c r="I59" s="192">
        <f t="shared" si="87"/>
        <v>0</v>
      </c>
      <c r="J59" s="191">
        <f t="shared" si="88"/>
        <v>12877.5</v>
      </c>
      <c r="K59" s="192">
        <f t="shared" si="89"/>
        <v>0</v>
      </c>
      <c r="L59" s="191">
        <f t="shared" si="90"/>
        <v>0</v>
      </c>
      <c r="M59" s="192">
        <f t="shared" si="91"/>
        <v>12877.5</v>
      </c>
      <c r="N59" s="191">
        <f t="shared" si="92"/>
        <v>0</v>
      </c>
      <c r="O59" s="193">
        <f t="shared" si="93"/>
        <v>12877.5</v>
      </c>
    </row>
    <row r="60" spans="1:15" x14ac:dyDescent="0.25">
      <c r="A60" s="180" t="str">
        <f t="shared" ref="A60:C60" si="103">+A15</f>
        <v>Circuito integrado bluetooth</v>
      </c>
      <c r="B60" s="173">
        <f t="shared" si="103"/>
        <v>51510</v>
      </c>
      <c r="C60" s="181" t="str">
        <f t="shared" si="103"/>
        <v>u</v>
      </c>
      <c r="D60" s="191">
        <f t="shared" si="82"/>
        <v>0</v>
      </c>
      <c r="E60" s="192">
        <f t="shared" si="83"/>
        <v>12877.5</v>
      </c>
      <c r="F60" s="191">
        <f t="shared" si="84"/>
        <v>0</v>
      </c>
      <c r="G60" s="192">
        <f t="shared" si="85"/>
        <v>0</v>
      </c>
      <c r="H60" s="191">
        <f t="shared" si="86"/>
        <v>12877.5</v>
      </c>
      <c r="I60" s="192">
        <f t="shared" si="87"/>
        <v>0</v>
      </c>
      <c r="J60" s="191">
        <f t="shared" si="88"/>
        <v>12877.5</v>
      </c>
      <c r="K60" s="192">
        <f t="shared" si="89"/>
        <v>0</v>
      </c>
      <c r="L60" s="191">
        <f t="shared" si="90"/>
        <v>0</v>
      </c>
      <c r="M60" s="192">
        <f t="shared" si="91"/>
        <v>12877.5</v>
      </c>
      <c r="N60" s="191">
        <f t="shared" si="92"/>
        <v>0</v>
      </c>
      <c r="O60" s="193">
        <f t="shared" si="93"/>
        <v>12877.5</v>
      </c>
    </row>
    <row r="61" spans="1:15" x14ac:dyDescent="0.25">
      <c r="A61" s="180" t="str">
        <f t="shared" ref="A61:C61" si="104">+A16</f>
        <v>Circuito integrado DIP8</v>
      </c>
      <c r="B61" s="173">
        <f t="shared" si="104"/>
        <v>51510</v>
      </c>
      <c r="C61" s="181" t="str">
        <f t="shared" si="104"/>
        <v>u</v>
      </c>
      <c r="D61" s="191">
        <f t="shared" si="82"/>
        <v>0</v>
      </c>
      <c r="E61" s="192">
        <f t="shared" si="83"/>
        <v>12877.5</v>
      </c>
      <c r="F61" s="191">
        <f t="shared" si="84"/>
        <v>0</v>
      </c>
      <c r="G61" s="192">
        <f t="shared" si="85"/>
        <v>0</v>
      </c>
      <c r="H61" s="191">
        <f t="shared" si="86"/>
        <v>12877.5</v>
      </c>
      <c r="I61" s="192">
        <f t="shared" si="87"/>
        <v>0</v>
      </c>
      <c r="J61" s="191">
        <f t="shared" si="88"/>
        <v>12877.5</v>
      </c>
      <c r="K61" s="192">
        <f t="shared" si="89"/>
        <v>0</v>
      </c>
      <c r="L61" s="191">
        <f t="shared" si="90"/>
        <v>0</v>
      </c>
      <c r="M61" s="192">
        <f t="shared" si="91"/>
        <v>12877.5</v>
      </c>
      <c r="N61" s="191">
        <f t="shared" si="92"/>
        <v>0</v>
      </c>
      <c r="O61" s="193">
        <f t="shared" si="93"/>
        <v>12877.5</v>
      </c>
    </row>
    <row r="62" spans="1:15" x14ac:dyDescent="0.25">
      <c r="A62" s="180" t="str">
        <f t="shared" ref="A62:C62" si="105">+A17</f>
        <v>Circuito integrado LM393P</v>
      </c>
      <c r="B62" s="173">
        <f t="shared" si="105"/>
        <v>51510</v>
      </c>
      <c r="C62" s="181" t="str">
        <f t="shared" si="105"/>
        <v>u</v>
      </c>
      <c r="D62" s="191">
        <f t="shared" si="82"/>
        <v>0</v>
      </c>
      <c r="E62" s="192">
        <f t="shared" si="83"/>
        <v>12877.5</v>
      </c>
      <c r="F62" s="191">
        <f t="shared" si="84"/>
        <v>0</v>
      </c>
      <c r="G62" s="192">
        <f t="shared" si="85"/>
        <v>0</v>
      </c>
      <c r="H62" s="191">
        <f t="shared" si="86"/>
        <v>12877.5</v>
      </c>
      <c r="I62" s="192">
        <f t="shared" si="87"/>
        <v>0</v>
      </c>
      <c r="J62" s="191">
        <f t="shared" si="88"/>
        <v>12877.5</v>
      </c>
      <c r="K62" s="192">
        <f t="shared" si="89"/>
        <v>0</v>
      </c>
      <c r="L62" s="191">
        <f t="shared" si="90"/>
        <v>0</v>
      </c>
      <c r="M62" s="192">
        <f t="shared" si="91"/>
        <v>12877.5</v>
      </c>
      <c r="N62" s="191">
        <f t="shared" si="92"/>
        <v>0</v>
      </c>
      <c r="O62" s="193">
        <f t="shared" si="93"/>
        <v>12877.5</v>
      </c>
    </row>
    <row r="63" spans="1:15" x14ac:dyDescent="0.25">
      <c r="A63" s="180" t="str">
        <f t="shared" ref="A63:C63" si="106">+A18</f>
        <v>Circuito integrado MC6002</v>
      </c>
      <c r="B63" s="173">
        <f t="shared" si="106"/>
        <v>103020</v>
      </c>
      <c r="C63" s="181" t="str">
        <f t="shared" si="106"/>
        <v>u</v>
      </c>
      <c r="D63" s="191">
        <f t="shared" si="82"/>
        <v>0</v>
      </c>
      <c r="E63" s="192">
        <f t="shared" si="83"/>
        <v>0</v>
      </c>
      <c r="F63" s="191">
        <f t="shared" si="84"/>
        <v>0</v>
      </c>
      <c r="G63" s="192">
        <f t="shared" si="85"/>
        <v>51510</v>
      </c>
      <c r="H63" s="191">
        <f t="shared" si="86"/>
        <v>0</v>
      </c>
      <c r="I63" s="192">
        <f t="shared" si="87"/>
        <v>0</v>
      </c>
      <c r="J63" s="191">
        <f t="shared" si="88"/>
        <v>0</v>
      </c>
      <c r="K63" s="192">
        <f t="shared" si="89"/>
        <v>0</v>
      </c>
      <c r="L63" s="191">
        <f t="shared" si="90"/>
        <v>51510</v>
      </c>
      <c r="M63" s="192">
        <f t="shared" si="91"/>
        <v>0</v>
      </c>
      <c r="N63" s="191">
        <f t="shared" si="92"/>
        <v>0</v>
      </c>
      <c r="O63" s="193">
        <f t="shared" si="93"/>
        <v>0</v>
      </c>
    </row>
    <row r="64" spans="1:15" x14ac:dyDescent="0.25">
      <c r="A64" s="180" t="str">
        <f t="shared" ref="A64:C64" si="107">+A19</f>
        <v>Circuito integrado MC9508JM</v>
      </c>
      <c r="B64" s="173">
        <f t="shared" si="107"/>
        <v>51510</v>
      </c>
      <c r="C64" s="181" t="str">
        <f t="shared" si="107"/>
        <v>u</v>
      </c>
      <c r="D64" s="191">
        <f t="shared" si="82"/>
        <v>0</v>
      </c>
      <c r="E64" s="192">
        <f t="shared" si="83"/>
        <v>12877.5</v>
      </c>
      <c r="F64" s="191">
        <f t="shared" si="84"/>
        <v>0</v>
      </c>
      <c r="G64" s="192">
        <f t="shared" si="85"/>
        <v>0</v>
      </c>
      <c r="H64" s="191">
        <f t="shared" si="86"/>
        <v>12877.5</v>
      </c>
      <c r="I64" s="192">
        <f t="shared" si="87"/>
        <v>0</v>
      </c>
      <c r="J64" s="191">
        <f t="shared" si="88"/>
        <v>12877.5</v>
      </c>
      <c r="K64" s="192">
        <f t="shared" si="89"/>
        <v>0</v>
      </c>
      <c r="L64" s="191">
        <f t="shared" si="90"/>
        <v>0</v>
      </c>
      <c r="M64" s="192">
        <f t="shared" si="91"/>
        <v>12877.5</v>
      </c>
      <c r="N64" s="191">
        <f t="shared" si="92"/>
        <v>0</v>
      </c>
      <c r="O64" s="193">
        <f t="shared" si="93"/>
        <v>12877.5</v>
      </c>
    </row>
    <row r="65" spans="1:15" x14ac:dyDescent="0.25">
      <c r="A65" s="180" t="str">
        <f t="shared" ref="A65:C65" si="108">+A20</f>
        <v>Circuito integrado MC9S08SH8</v>
      </c>
      <c r="B65" s="173">
        <f t="shared" si="108"/>
        <v>51510</v>
      </c>
      <c r="C65" s="181" t="str">
        <f t="shared" si="108"/>
        <v>u</v>
      </c>
      <c r="D65" s="191">
        <f t="shared" si="82"/>
        <v>0</v>
      </c>
      <c r="E65" s="192">
        <f t="shared" si="83"/>
        <v>12877.5</v>
      </c>
      <c r="F65" s="191">
        <f t="shared" si="84"/>
        <v>0</v>
      </c>
      <c r="G65" s="192">
        <f t="shared" si="85"/>
        <v>0</v>
      </c>
      <c r="H65" s="191">
        <f t="shared" si="86"/>
        <v>12877.5</v>
      </c>
      <c r="I65" s="192">
        <f t="shared" si="87"/>
        <v>0</v>
      </c>
      <c r="J65" s="191">
        <f t="shared" si="88"/>
        <v>12877.5</v>
      </c>
      <c r="K65" s="192">
        <f t="shared" si="89"/>
        <v>0</v>
      </c>
      <c r="L65" s="191">
        <f t="shared" si="90"/>
        <v>0</v>
      </c>
      <c r="M65" s="192">
        <f t="shared" si="91"/>
        <v>12877.5</v>
      </c>
      <c r="N65" s="191">
        <f t="shared" si="92"/>
        <v>0</v>
      </c>
      <c r="O65" s="193">
        <f t="shared" si="93"/>
        <v>12877.5</v>
      </c>
    </row>
    <row r="66" spans="1:15" x14ac:dyDescent="0.25">
      <c r="A66" s="180" t="str">
        <f t="shared" ref="A66:C66" si="109">+A21</f>
        <v>Circuito integrado motor</v>
      </c>
      <c r="B66" s="173">
        <f t="shared" si="109"/>
        <v>51510</v>
      </c>
      <c r="C66" s="181" t="str">
        <f t="shared" si="109"/>
        <v>u</v>
      </c>
      <c r="D66" s="191">
        <f t="shared" si="82"/>
        <v>0</v>
      </c>
      <c r="E66" s="192">
        <f t="shared" si="83"/>
        <v>12877.5</v>
      </c>
      <c r="F66" s="191">
        <f t="shared" si="84"/>
        <v>0</v>
      </c>
      <c r="G66" s="192">
        <f t="shared" si="85"/>
        <v>0</v>
      </c>
      <c r="H66" s="191">
        <f t="shared" si="86"/>
        <v>12877.5</v>
      </c>
      <c r="I66" s="192">
        <f t="shared" si="87"/>
        <v>0</v>
      </c>
      <c r="J66" s="191">
        <f t="shared" si="88"/>
        <v>12877.5</v>
      </c>
      <c r="K66" s="192">
        <f t="shared" si="89"/>
        <v>0</v>
      </c>
      <c r="L66" s="191">
        <f t="shared" si="90"/>
        <v>0</v>
      </c>
      <c r="M66" s="192">
        <f t="shared" si="91"/>
        <v>12877.5</v>
      </c>
      <c r="N66" s="191">
        <f t="shared" si="92"/>
        <v>0</v>
      </c>
      <c r="O66" s="193">
        <f t="shared" si="93"/>
        <v>12877.5</v>
      </c>
    </row>
    <row r="67" spans="1:15" x14ac:dyDescent="0.25">
      <c r="A67" s="180" t="str">
        <f t="shared" ref="A67:C67" si="110">+A22</f>
        <v>Conector de 3 term</v>
      </c>
      <c r="B67" s="173">
        <f t="shared" si="110"/>
        <v>309060</v>
      </c>
      <c r="C67" s="181" t="str">
        <f t="shared" si="110"/>
        <v>u</v>
      </c>
      <c r="D67" s="191">
        <f t="shared" si="82"/>
        <v>0</v>
      </c>
      <c r="E67" s="192">
        <f t="shared" si="83"/>
        <v>0</v>
      </c>
      <c r="F67" s="191">
        <f t="shared" si="84"/>
        <v>0</v>
      </c>
      <c r="G67" s="192">
        <f t="shared" si="85"/>
        <v>154530</v>
      </c>
      <c r="H67" s="191">
        <f t="shared" si="86"/>
        <v>0</v>
      </c>
      <c r="I67" s="192">
        <f t="shared" si="87"/>
        <v>0</v>
      </c>
      <c r="J67" s="191">
        <f t="shared" si="88"/>
        <v>0</v>
      </c>
      <c r="K67" s="192">
        <f t="shared" si="89"/>
        <v>0</v>
      </c>
      <c r="L67" s="191">
        <f t="shared" si="90"/>
        <v>154530</v>
      </c>
      <c r="M67" s="192">
        <f t="shared" si="91"/>
        <v>0</v>
      </c>
      <c r="N67" s="191">
        <f t="shared" si="92"/>
        <v>0</v>
      </c>
      <c r="O67" s="193">
        <f t="shared" si="93"/>
        <v>0</v>
      </c>
    </row>
    <row r="68" spans="1:15" x14ac:dyDescent="0.25">
      <c r="A68" s="180" t="str">
        <f t="shared" ref="A68:C68" si="111">+A23</f>
        <v>Cristal de 12MHz</v>
      </c>
      <c r="B68" s="173">
        <f t="shared" si="111"/>
        <v>50500</v>
      </c>
      <c r="C68" s="181" t="str">
        <f t="shared" si="111"/>
        <v>u</v>
      </c>
      <c r="D68" s="191">
        <f t="shared" si="82"/>
        <v>16833.333333333332</v>
      </c>
      <c r="E68" s="192">
        <f t="shared" si="83"/>
        <v>0</v>
      </c>
      <c r="F68" s="191">
        <f t="shared" si="84"/>
        <v>0</v>
      </c>
      <c r="G68" s="192">
        <f t="shared" si="85"/>
        <v>0</v>
      </c>
      <c r="H68" s="191">
        <f t="shared" si="86"/>
        <v>0</v>
      </c>
      <c r="I68" s="192">
        <f t="shared" si="87"/>
        <v>16833.333333333332</v>
      </c>
      <c r="J68" s="191">
        <f t="shared" si="88"/>
        <v>0</v>
      </c>
      <c r="K68" s="192">
        <f t="shared" si="89"/>
        <v>0</v>
      </c>
      <c r="L68" s="191">
        <f t="shared" si="90"/>
        <v>0</v>
      </c>
      <c r="M68" s="192">
        <f t="shared" si="91"/>
        <v>0</v>
      </c>
      <c r="N68" s="191">
        <f t="shared" si="92"/>
        <v>16833.333333333332</v>
      </c>
      <c r="O68" s="193">
        <f t="shared" si="93"/>
        <v>0</v>
      </c>
    </row>
    <row r="69" spans="1:15" x14ac:dyDescent="0.25">
      <c r="A69" s="180" t="str">
        <f t="shared" ref="A69:C69" si="112">+A24</f>
        <v>Diodo 1N4148</v>
      </c>
      <c r="B69" s="173">
        <f t="shared" si="112"/>
        <v>50500</v>
      </c>
      <c r="C69" s="181" t="str">
        <f t="shared" si="112"/>
        <v>u</v>
      </c>
      <c r="D69" s="191">
        <f t="shared" si="82"/>
        <v>16833.333333333332</v>
      </c>
      <c r="E69" s="192">
        <f t="shared" si="83"/>
        <v>0</v>
      </c>
      <c r="F69" s="191">
        <f t="shared" si="84"/>
        <v>0</v>
      </c>
      <c r="G69" s="192">
        <f t="shared" si="85"/>
        <v>0</v>
      </c>
      <c r="H69" s="191">
        <f t="shared" si="86"/>
        <v>0</v>
      </c>
      <c r="I69" s="192">
        <f t="shared" si="87"/>
        <v>16833.333333333332</v>
      </c>
      <c r="J69" s="191">
        <f t="shared" si="88"/>
        <v>0</v>
      </c>
      <c r="K69" s="192">
        <f t="shared" si="89"/>
        <v>0</v>
      </c>
      <c r="L69" s="191">
        <f t="shared" si="90"/>
        <v>0</v>
      </c>
      <c r="M69" s="192">
        <f t="shared" si="91"/>
        <v>0</v>
      </c>
      <c r="N69" s="191">
        <f t="shared" si="92"/>
        <v>16833.333333333332</v>
      </c>
      <c r="O69" s="193">
        <f t="shared" si="93"/>
        <v>0</v>
      </c>
    </row>
    <row r="70" spans="1:15" x14ac:dyDescent="0.25">
      <c r="A70" s="180" t="str">
        <f t="shared" ref="A70:C70" si="113">+A25</f>
        <v>Diodos led</v>
      </c>
      <c r="B70" s="173">
        <f t="shared" si="113"/>
        <v>353500</v>
      </c>
      <c r="C70" s="181" t="str">
        <f t="shared" si="113"/>
        <v>u</v>
      </c>
      <c r="D70" s="191">
        <f t="shared" si="82"/>
        <v>0</v>
      </c>
      <c r="E70" s="192">
        <f t="shared" si="83"/>
        <v>0</v>
      </c>
      <c r="F70" s="191">
        <f t="shared" si="84"/>
        <v>0</v>
      </c>
      <c r="G70" s="192">
        <f t="shared" si="85"/>
        <v>176750</v>
      </c>
      <c r="H70" s="191">
        <f t="shared" si="86"/>
        <v>0</v>
      </c>
      <c r="I70" s="192">
        <f t="shared" si="87"/>
        <v>0</v>
      </c>
      <c r="J70" s="191">
        <f t="shared" si="88"/>
        <v>0</v>
      </c>
      <c r="K70" s="192">
        <f t="shared" si="89"/>
        <v>0</v>
      </c>
      <c r="L70" s="191">
        <f t="shared" si="90"/>
        <v>176750</v>
      </c>
      <c r="M70" s="192">
        <f t="shared" si="91"/>
        <v>0</v>
      </c>
      <c r="N70" s="191">
        <f t="shared" si="92"/>
        <v>0</v>
      </c>
      <c r="O70" s="193">
        <f t="shared" si="93"/>
        <v>0</v>
      </c>
    </row>
    <row r="71" spans="1:15" x14ac:dyDescent="0.25">
      <c r="A71" s="180" t="str">
        <f t="shared" ref="A71:C71" si="114">+A26</f>
        <v>Jack 3,5mm</v>
      </c>
      <c r="B71" s="173">
        <f t="shared" si="114"/>
        <v>104030</v>
      </c>
      <c r="C71" s="181" t="str">
        <f t="shared" si="114"/>
        <v>u</v>
      </c>
      <c r="D71" s="191">
        <f t="shared" si="82"/>
        <v>0</v>
      </c>
      <c r="E71" s="192">
        <f t="shared" si="83"/>
        <v>0</v>
      </c>
      <c r="F71" s="191">
        <f t="shared" si="84"/>
        <v>0</v>
      </c>
      <c r="G71" s="192">
        <f t="shared" si="85"/>
        <v>52015</v>
      </c>
      <c r="H71" s="191">
        <f t="shared" si="86"/>
        <v>0</v>
      </c>
      <c r="I71" s="192">
        <f t="shared" si="87"/>
        <v>0</v>
      </c>
      <c r="J71" s="191">
        <f t="shared" si="88"/>
        <v>0</v>
      </c>
      <c r="K71" s="192">
        <f t="shared" si="89"/>
        <v>0</v>
      </c>
      <c r="L71" s="191">
        <f t="shared" si="90"/>
        <v>52015</v>
      </c>
      <c r="M71" s="192">
        <f t="shared" si="91"/>
        <v>0</v>
      </c>
      <c r="N71" s="191">
        <f t="shared" si="92"/>
        <v>0</v>
      </c>
      <c r="O71" s="193">
        <f t="shared" si="93"/>
        <v>0</v>
      </c>
    </row>
    <row r="72" spans="1:15" x14ac:dyDescent="0.25">
      <c r="A72" s="180" t="str">
        <f t="shared" ref="A72:C72" si="115">+A27</f>
        <v>Jumpers</v>
      </c>
      <c r="B72" s="173">
        <f t="shared" si="115"/>
        <v>1167307.4999999998</v>
      </c>
      <c r="C72" s="181" t="str">
        <f t="shared" si="115"/>
        <v>u</v>
      </c>
      <c r="D72" s="191">
        <f t="shared" si="82"/>
        <v>0</v>
      </c>
      <c r="E72" s="192">
        <f t="shared" si="83"/>
        <v>0</v>
      </c>
      <c r="F72" s="191">
        <f t="shared" si="84"/>
        <v>0</v>
      </c>
      <c r="G72" s="192">
        <f t="shared" si="85"/>
        <v>583653.74999999988</v>
      </c>
      <c r="H72" s="191">
        <f t="shared" si="86"/>
        <v>0</v>
      </c>
      <c r="I72" s="192">
        <f t="shared" si="87"/>
        <v>0</v>
      </c>
      <c r="J72" s="191">
        <f t="shared" si="88"/>
        <v>0</v>
      </c>
      <c r="K72" s="192">
        <f t="shared" si="89"/>
        <v>0</v>
      </c>
      <c r="L72" s="191">
        <f t="shared" si="90"/>
        <v>583653.74999999988</v>
      </c>
      <c r="M72" s="192">
        <f t="shared" si="91"/>
        <v>0</v>
      </c>
      <c r="N72" s="191">
        <f t="shared" si="92"/>
        <v>0</v>
      </c>
      <c r="O72" s="193">
        <f t="shared" si="93"/>
        <v>0</v>
      </c>
    </row>
    <row r="73" spans="1:15" x14ac:dyDescent="0.25">
      <c r="A73" s="180" t="str">
        <f t="shared" ref="A73:C73" si="116">+A28</f>
        <v>Manual</v>
      </c>
      <c r="B73" s="173">
        <f t="shared" si="116"/>
        <v>52015</v>
      </c>
      <c r="C73" s="181" t="str">
        <f t="shared" si="116"/>
        <v>u</v>
      </c>
      <c r="D73" s="191">
        <f t="shared" si="82"/>
        <v>0</v>
      </c>
      <c r="E73" s="192">
        <f t="shared" si="83"/>
        <v>13003.75</v>
      </c>
      <c r="F73" s="191">
        <f t="shared" si="84"/>
        <v>0</v>
      </c>
      <c r="G73" s="192">
        <f t="shared" si="85"/>
        <v>0</v>
      </c>
      <c r="H73" s="191">
        <f t="shared" si="86"/>
        <v>13003.75</v>
      </c>
      <c r="I73" s="192">
        <f t="shared" si="87"/>
        <v>0</v>
      </c>
      <c r="J73" s="191">
        <f t="shared" si="88"/>
        <v>13003.75</v>
      </c>
      <c r="K73" s="192">
        <f t="shared" si="89"/>
        <v>0</v>
      </c>
      <c r="L73" s="191">
        <f t="shared" si="90"/>
        <v>0</v>
      </c>
      <c r="M73" s="192">
        <f t="shared" si="91"/>
        <v>13003.75</v>
      </c>
      <c r="N73" s="191">
        <f t="shared" si="92"/>
        <v>0</v>
      </c>
      <c r="O73" s="193">
        <f t="shared" si="93"/>
        <v>13003.75</v>
      </c>
    </row>
    <row r="74" spans="1:15" x14ac:dyDescent="0.25">
      <c r="A74" s="180" t="str">
        <f t="shared" ref="A74:C74" si="117">+A29</f>
        <v>Pegamento</v>
      </c>
      <c r="B74" s="173">
        <f t="shared" si="117"/>
        <v>1575000</v>
      </c>
      <c r="C74" s="181" t="str">
        <f t="shared" si="117"/>
        <v>gr</v>
      </c>
      <c r="D74" s="191">
        <f t="shared" si="82"/>
        <v>525000</v>
      </c>
      <c r="E74" s="192">
        <f t="shared" si="83"/>
        <v>0</v>
      </c>
      <c r="F74" s="191">
        <f t="shared" si="84"/>
        <v>0</v>
      </c>
      <c r="G74" s="192">
        <f t="shared" si="85"/>
        <v>0</v>
      </c>
      <c r="H74" s="191">
        <f t="shared" si="86"/>
        <v>0</v>
      </c>
      <c r="I74" s="192">
        <f t="shared" si="87"/>
        <v>525000</v>
      </c>
      <c r="J74" s="191">
        <f t="shared" si="88"/>
        <v>0</v>
      </c>
      <c r="K74" s="192">
        <f t="shared" si="89"/>
        <v>0</v>
      </c>
      <c r="L74" s="191">
        <f t="shared" si="90"/>
        <v>0</v>
      </c>
      <c r="M74" s="192">
        <f t="shared" si="91"/>
        <v>0</v>
      </c>
      <c r="N74" s="191">
        <f t="shared" si="92"/>
        <v>525000</v>
      </c>
      <c r="O74" s="193">
        <f t="shared" si="93"/>
        <v>0</v>
      </c>
    </row>
    <row r="75" spans="1:15" x14ac:dyDescent="0.25">
      <c r="A75" s="180" t="str">
        <f t="shared" ref="A75:C75" si="118">+A30</f>
        <v>Plaqueta de cobre</v>
      </c>
      <c r="B75" s="173">
        <f t="shared" si="118"/>
        <v>52546.651627499989</v>
      </c>
      <c r="C75" s="181" t="str">
        <f t="shared" si="118"/>
        <v>u</v>
      </c>
      <c r="D75" s="191">
        <f t="shared" si="82"/>
        <v>17515.550542499997</v>
      </c>
      <c r="E75" s="192">
        <f t="shared" si="83"/>
        <v>0</v>
      </c>
      <c r="F75" s="191">
        <f t="shared" si="84"/>
        <v>0</v>
      </c>
      <c r="G75" s="192">
        <f t="shared" si="85"/>
        <v>0</v>
      </c>
      <c r="H75" s="191">
        <f t="shared" si="86"/>
        <v>0</v>
      </c>
      <c r="I75" s="192">
        <f t="shared" si="87"/>
        <v>17515.550542499997</v>
      </c>
      <c r="J75" s="191">
        <f t="shared" si="88"/>
        <v>0</v>
      </c>
      <c r="K75" s="192">
        <f t="shared" si="89"/>
        <v>0</v>
      </c>
      <c r="L75" s="191">
        <f t="shared" si="90"/>
        <v>0</v>
      </c>
      <c r="M75" s="192">
        <f t="shared" si="91"/>
        <v>0</v>
      </c>
      <c r="N75" s="191">
        <f t="shared" si="92"/>
        <v>17515.550542499997</v>
      </c>
      <c r="O75" s="193">
        <f t="shared" si="93"/>
        <v>0</v>
      </c>
    </row>
    <row r="76" spans="1:15" x14ac:dyDescent="0.25">
      <c r="A76" s="180" t="str">
        <f t="shared" ref="A76:C76" si="119">+A31</f>
        <v>Plaqueta impresa</v>
      </c>
      <c r="B76" s="173">
        <f t="shared" si="119"/>
        <v>52025.1</v>
      </c>
      <c r="C76" s="181" t="str">
        <f t="shared" si="119"/>
        <v>u</v>
      </c>
      <c r="D76" s="191">
        <f t="shared" si="82"/>
        <v>17341.7</v>
      </c>
      <c r="E76" s="192">
        <f t="shared" si="83"/>
        <v>0</v>
      </c>
      <c r="F76" s="191">
        <f t="shared" si="84"/>
        <v>0</v>
      </c>
      <c r="G76" s="192">
        <f t="shared" si="85"/>
        <v>0</v>
      </c>
      <c r="H76" s="191">
        <f t="shared" si="86"/>
        <v>0</v>
      </c>
      <c r="I76" s="192">
        <f t="shared" si="87"/>
        <v>17341.7</v>
      </c>
      <c r="J76" s="191">
        <f t="shared" si="88"/>
        <v>0</v>
      </c>
      <c r="K76" s="192">
        <f t="shared" si="89"/>
        <v>0</v>
      </c>
      <c r="L76" s="191">
        <f t="shared" si="90"/>
        <v>0</v>
      </c>
      <c r="M76" s="192">
        <f t="shared" si="91"/>
        <v>0</v>
      </c>
      <c r="N76" s="191">
        <f t="shared" si="92"/>
        <v>17341.7</v>
      </c>
      <c r="O76" s="193">
        <f t="shared" si="93"/>
        <v>0</v>
      </c>
    </row>
    <row r="77" spans="1:15" x14ac:dyDescent="0.25">
      <c r="A77" s="180" t="str">
        <f t="shared" ref="A77:C77" si="120">+A32</f>
        <v>Pulsador</v>
      </c>
      <c r="B77" s="173">
        <f t="shared" si="120"/>
        <v>51510</v>
      </c>
      <c r="C77" s="181" t="str">
        <f t="shared" si="120"/>
        <v>u</v>
      </c>
      <c r="D77" s="191">
        <f t="shared" si="82"/>
        <v>17170</v>
      </c>
      <c r="E77" s="192">
        <f t="shared" si="83"/>
        <v>0</v>
      </c>
      <c r="F77" s="191">
        <f t="shared" si="84"/>
        <v>0</v>
      </c>
      <c r="G77" s="192">
        <f t="shared" si="85"/>
        <v>0</v>
      </c>
      <c r="H77" s="191">
        <f t="shared" si="86"/>
        <v>0</v>
      </c>
      <c r="I77" s="192">
        <f t="shared" si="87"/>
        <v>17170</v>
      </c>
      <c r="J77" s="191">
        <f t="shared" si="88"/>
        <v>0</v>
      </c>
      <c r="K77" s="192">
        <f t="shared" si="89"/>
        <v>0</v>
      </c>
      <c r="L77" s="191">
        <f t="shared" si="90"/>
        <v>0</v>
      </c>
      <c r="M77" s="192">
        <f t="shared" si="91"/>
        <v>0</v>
      </c>
      <c r="N77" s="191">
        <f t="shared" si="92"/>
        <v>17170</v>
      </c>
      <c r="O77" s="193">
        <f t="shared" si="93"/>
        <v>0</v>
      </c>
    </row>
    <row r="78" spans="1:15" x14ac:dyDescent="0.25">
      <c r="A78" s="180" t="str">
        <f t="shared" ref="A78:C78" si="121">+A33</f>
        <v>Resistencia 10k</v>
      </c>
      <c r="B78" s="173">
        <f t="shared" si="121"/>
        <v>714052.49999999977</v>
      </c>
      <c r="C78" s="181" t="str">
        <f t="shared" si="121"/>
        <v>u</v>
      </c>
      <c r="D78" s="191">
        <f t="shared" si="82"/>
        <v>0</v>
      </c>
      <c r="E78" s="192">
        <f t="shared" si="83"/>
        <v>0</v>
      </c>
      <c r="F78" s="191">
        <f t="shared" si="84"/>
        <v>357026.24999999988</v>
      </c>
      <c r="G78" s="192">
        <f t="shared" si="85"/>
        <v>0</v>
      </c>
      <c r="H78" s="191">
        <f t="shared" si="86"/>
        <v>0</v>
      </c>
      <c r="I78" s="192">
        <f t="shared" si="87"/>
        <v>0</v>
      </c>
      <c r="J78" s="191">
        <f t="shared" si="88"/>
        <v>0</v>
      </c>
      <c r="K78" s="192">
        <f t="shared" si="89"/>
        <v>357026.24999999988</v>
      </c>
      <c r="L78" s="191">
        <f t="shared" si="90"/>
        <v>0</v>
      </c>
      <c r="M78" s="192">
        <f t="shared" si="91"/>
        <v>0</v>
      </c>
      <c r="N78" s="191">
        <f t="shared" si="92"/>
        <v>0</v>
      </c>
      <c r="O78" s="193">
        <f t="shared" si="93"/>
        <v>0</v>
      </c>
    </row>
    <row r="79" spans="1:15" x14ac:dyDescent="0.25">
      <c r="A79" s="180" t="str">
        <f t="shared" ref="A79:C79" si="122">+A34</f>
        <v>Resistencia 10M</v>
      </c>
      <c r="B79" s="173">
        <f t="shared" si="122"/>
        <v>204014.99999999994</v>
      </c>
      <c r="C79" s="181" t="str">
        <f t="shared" si="122"/>
        <v>u</v>
      </c>
      <c r="D79" s="191">
        <f t="shared" si="82"/>
        <v>0</v>
      </c>
      <c r="E79" s="192">
        <f t="shared" si="83"/>
        <v>0</v>
      </c>
      <c r="F79" s="191">
        <f t="shared" si="84"/>
        <v>102007.49999999997</v>
      </c>
      <c r="G79" s="192">
        <f t="shared" si="85"/>
        <v>0</v>
      </c>
      <c r="H79" s="191">
        <f t="shared" si="86"/>
        <v>0</v>
      </c>
      <c r="I79" s="192">
        <f t="shared" si="87"/>
        <v>0</v>
      </c>
      <c r="J79" s="191">
        <f t="shared" si="88"/>
        <v>0</v>
      </c>
      <c r="K79" s="192">
        <f t="shared" si="89"/>
        <v>102007.49999999997</v>
      </c>
      <c r="L79" s="191">
        <f t="shared" si="90"/>
        <v>0</v>
      </c>
      <c r="M79" s="192">
        <f t="shared" si="91"/>
        <v>0</v>
      </c>
      <c r="N79" s="191">
        <f t="shared" si="92"/>
        <v>0</v>
      </c>
      <c r="O79" s="193">
        <f t="shared" si="93"/>
        <v>0</v>
      </c>
    </row>
    <row r="80" spans="1:15" x14ac:dyDescent="0.25">
      <c r="A80" s="180" t="str">
        <f t="shared" ref="A80:C80" si="123">+A35</f>
        <v>Resistencia de 100R</v>
      </c>
      <c r="B80" s="173">
        <f t="shared" si="123"/>
        <v>102007.49999999997</v>
      </c>
      <c r="C80" s="181" t="str">
        <f t="shared" si="123"/>
        <v>u</v>
      </c>
      <c r="D80" s="191">
        <f t="shared" si="82"/>
        <v>0</v>
      </c>
      <c r="E80" s="192">
        <f t="shared" si="83"/>
        <v>0</v>
      </c>
      <c r="F80" s="191">
        <f t="shared" si="84"/>
        <v>51003.749999999985</v>
      </c>
      <c r="G80" s="192">
        <f t="shared" si="85"/>
        <v>0</v>
      </c>
      <c r="H80" s="191">
        <f t="shared" si="86"/>
        <v>0</v>
      </c>
      <c r="I80" s="192">
        <f t="shared" si="87"/>
        <v>0</v>
      </c>
      <c r="J80" s="191">
        <f t="shared" si="88"/>
        <v>0</v>
      </c>
      <c r="K80" s="192">
        <f t="shared" si="89"/>
        <v>51003.749999999985</v>
      </c>
      <c r="L80" s="191">
        <f t="shared" si="90"/>
        <v>0</v>
      </c>
      <c r="M80" s="192">
        <f t="shared" si="91"/>
        <v>0</v>
      </c>
      <c r="N80" s="191">
        <f t="shared" si="92"/>
        <v>0</v>
      </c>
      <c r="O80" s="193">
        <f t="shared" si="93"/>
        <v>0</v>
      </c>
    </row>
    <row r="81" spans="1:17" x14ac:dyDescent="0.25">
      <c r="A81" s="180" t="str">
        <f t="shared" ref="A81:C81" si="124">+A36</f>
        <v>Resistencia de 15k</v>
      </c>
      <c r="B81" s="173">
        <f t="shared" si="124"/>
        <v>51003.749999999985</v>
      </c>
      <c r="C81" s="181" t="str">
        <f t="shared" si="124"/>
        <v>u</v>
      </c>
      <c r="D81" s="191">
        <f t="shared" si="82"/>
        <v>17001.249999999996</v>
      </c>
      <c r="E81" s="192">
        <f t="shared" si="83"/>
        <v>0</v>
      </c>
      <c r="F81" s="191">
        <f t="shared" si="84"/>
        <v>0</v>
      </c>
      <c r="G81" s="192">
        <f t="shared" si="85"/>
        <v>0</v>
      </c>
      <c r="H81" s="191">
        <f t="shared" si="86"/>
        <v>0</v>
      </c>
      <c r="I81" s="192">
        <f t="shared" si="87"/>
        <v>17001.249999999996</v>
      </c>
      <c r="J81" s="191">
        <f t="shared" si="88"/>
        <v>0</v>
      </c>
      <c r="K81" s="192">
        <f t="shared" si="89"/>
        <v>0</v>
      </c>
      <c r="L81" s="191">
        <f t="shared" si="90"/>
        <v>0</v>
      </c>
      <c r="M81" s="192">
        <f t="shared" si="91"/>
        <v>0</v>
      </c>
      <c r="N81" s="191">
        <f t="shared" si="92"/>
        <v>17001.249999999996</v>
      </c>
      <c r="O81" s="193">
        <f t="shared" si="93"/>
        <v>0</v>
      </c>
    </row>
    <row r="82" spans="1:17" x14ac:dyDescent="0.25">
      <c r="A82" s="180" t="str">
        <f t="shared" ref="A82:C82" si="125">+A37</f>
        <v>Resistencia de 180R</v>
      </c>
      <c r="B82" s="173">
        <f t="shared" si="125"/>
        <v>51003.749999999985</v>
      </c>
      <c r="C82" s="181" t="str">
        <f t="shared" si="125"/>
        <v>u</v>
      </c>
      <c r="D82" s="191">
        <f t="shared" si="82"/>
        <v>17001.249999999996</v>
      </c>
      <c r="E82" s="192">
        <f t="shared" si="83"/>
        <v>0</v>
      </c>
      <c r="F82" s="191">
        <f t="shared" si="84"/>
        <v>0</v>
      </c>
      <c r="G82" s="192">
        <f t="shared" si="85"/>
        <v>0</v>
      </c>
      <c r="H82" s="191">
        <f t="shared" si="86"/>
        <v>0</v>
      </c>
      <c r="I82" s="192">
        <f t="shared" si="87"/>
        <v>17001.249999999996</v>
      </c>
      <c r="J82" s="191">
        <f t="shared" si="88"/>
        <v>0</v>
      </c>
      <c r="K82" s="192">
        <f t="shared" si="89"/>
        <v>0</v>
      </c>
      <c r="L82" s="191">
        <f t="shared" si="90"/>
        <v>0</v>
      </c>
      <c r="M82" s="192">
        <f t="shared" si="91"/>
        <v>0</v>
      </c>
      <c r="N82" s="191">
        <f t="shared" si="92"/>
        <v>17001.249999999996</v>
      </c>
      <c r="O82" s="193">
        <f t="shared" si="93"/>
        <v>0</v>
      </c>
    </row>
    <row r="83" spans="1:17" x14ac:dyDescent="0.25">
      <c r="A83" s="180" t="str">
        <f t="shared" ref="A83:C83" si="126">+A38</f>
        <v>Resistencia de 240 ohms</v>
      </c>
      <c r="B83" s="173">
        <f t="shared" si="126"/>
        <v>51003.749999999985</v>
      </c>
      <c r="C83" s="181" t="str">
        <f t="shared" si="126"/>
        <v>u</v>
      </c>
      <c r="D83" s="191">
        <f t="shared" si="82"/>
        <v>17001.249999999996</v>
      </c>
      <c r="E83" s="192">
        <f t="shared" si="83"/>
        <v>0</v>
      </c>
      <c r="F83" s="191">
        <f t="shared" si="84"/>
        <v>0</v>
      </c>
      <c r="G83" s="192">
        <f t="shared" si="85"/>
        <v>0</v>
      </c>
      <c r="H83" s="191">
        <f t="shared" si="86"/>
        <v>0</v>
      </c>
      <c r="I83" s="192">
        <f t="shared" si="87"/>
        <v>17001.249999999996</v>
      </c>
      <c r="J83" s="191">
        <f t="shared" si="88"/>
        <v>0</v>
      </c>
      <c r="K83" s="192">
        <f t="shared" si="89"/>
        <v>0</v>
      </c>
      <c r="L83" s="191">
        <f t="shared" si="90"/>
        <v>0</v>
      </c>
      <c r="M83" s="192">
        <f t="shared" si="91"/>
        <v>0</v>
      </c>
      <c r="N83" s="191">
        <f t="shared" si="92"/>
        <v>17001.249999999996</v>
      </c>
      <c r="O83" s="193">
        <f t="shared" si="93"/>
        <v>0</v>
      </c>
    </row>
    <row r="84" spans="1:17" x14ac:dyDescent="0.25">
      <c r="A84" s="180" t="str">
        <f t="shared" ref="A84:C84" si="127">+A39</f>
        <v>Resistencia de 330 ohm</v>
      </c>
      <c r="B84" s="173">
        <f t="shared" si="127"/>
        <v>153011.24999999994</v>
      </c>
      <c r="C84" s="181" t="str">
        <f t="shared" si="127"/>
        <v>u</v>
      </c>
      <c r="D84" s="191">
        <f t="shared" si="82"/>
        <v>0</v>
      </c>
      <c r="E84" s="192">
        <f t="shared" si="83"/>
        <v>0</v>
      </c>
      <c r="F84" s="191">
        <f t="shared" si="84"/>
        <v>76505.624999999971</v>
      </c>
      <c r="G84" s="192">
        <f t="shared" si="85"/>
        <v>0</v>
      </c>
      <c r="H84" s="191">
        <f t="shared" si="86"/>
        <v>0</v>
      </c>
      <c r="I84" s="192">
        <f t="shared" si="87"/>
        <v>0</v>
      </c>
      <c r="J84" s="191">
        <f t="shared" si="88"/>
        <v>0</v>
      </c>
      <c r="K84" s="192">
        <f t="shared" si="89"/>
        <v>76505.624999999971</v>
      </c>
      <c r="L84" s="191">
        <f t="shared" si="90"/>
        <v>0</v>
      </c>
      <c r="M84" s="192">
        <f t="shared" si="91"/>
        <v>0</v>
      </c>
      <c r="N84" s="191">
        <f t="shared" si="92"/>
        <v>0</v>
      </c>
      <c r="O84" s="193">
        <f t="shared" si="93"/>
        <v>0</v>
      </c>
    </row>
    <row r="85" spans="1:17" x14ac:dyDescent="0.25">
      <c r="A85" s="180" t="str">
        <f t="shared" ref="A85:C85" si="128">+A40</f>
        <v>Resistencia de 47k</v>
      </c>
      <c r="B85" s="173">
        <f t="shared" si="128"/>
        <v>102007.49999999997</v>
      </c>
      <c r="C85" s="181" t="str">
        <f t="shared" si="128"/>
        <v>u</v>
      </c>
      <c r="D85" s="191">
        <f t="shared" si="82"/>
        <v>0</v>
      </c>
      <c r="E85" s="192">
        <f t="shared" si="83"/>
        <v>0</v>
      </c>
      <c r="F85" s="191">
        <f t="shared" si="84"/>
        <v>51003.749999999985</v>
      </c>
      <c r="G85" s="192">
        <f t="shared" si="85"/>
        <v>0</v>
      </c>
      <c r="H85" s="191">
        <f t="shared" si="86"/>
        <v>0</v>
      </c>
      <c r="I85" s="192">
        <f t="shared" si="87"/>
        <v>0</v>
      </c>
      <c r="J85" s="191">
        <f t="shared" si="88"/>
        <v>0</v>
      </c>
      <c r="K85" s="192">
        <f t="shared" si="89"/>
        <v>51003.749999999985</v>
      </c>
      <c r="L85" s="191">
        <f t="shared" si="90"/>
        <v>0</v>
      </c>
      <c r="M85" s="192">
        <f t="shared" si="91"/>
        <v>0</v>
      </c>
      <c r="N85" s="191">
        <f t="shared" si="92"/>
        <v>0</v>
      </c>
      <c r="O85" s="193">
        <f t="shared" si="93"/>
        <v>0</v>
      </c>
    </row>
    <row r="86" spans="1:17" x14ac:dyDescent="0.25">
      <c r="A86" s="180" t="str">
        <f t="shared" ref="A86:C86" si="129">+A41</f>
        <v>Resistencia de 4k7</v>
      </c>
      <c r="B86" s="173">
        <f t="shared" si="129"/>
        <v>102007.49999999997</v>
      </c>
      <c r="C86" s="181" t="str">
        <f t="shared" si="129"/>
        <v>u</v>
      </c>
      <c r="D86" s="191">
        <f t="shared" si="82"/>
        <v>0</v>
      </c>
      <c r="E86" s="192">
        <f t="shared" si="83"/>
        <v>0</v>
      </c>
      <c r="F86" s="191">
        <f t="shared" si="84"/>
        <v>51003.749999999985</v>
      </c>
      <c r="G86" s="192">
        <f t="shared" si="85"/>
        <v>0</v>
      </c>
      <c r="H86" s="191">
        <f t="shared" si="86"/>
        <v>0</v>
      </c>
      <c r="I86" s="192">
        <f t="shared" si="87"/>
        <v>0</v>
      </c>
      <c r="J86" s="191">
        <f t="shared" si="88"/>
        <v>0</v>
      </c>
      <c r="K86" s="192">
        <f t="shared" si="89"/>
        <v>51003.749999999985</v>
      </c>
      <c r="L86" s="191">
        <f t="shared" si="90"/>
        <v>0</v>
      </c>
      <c r="M86" s="192">
        <f t="shared" si="91"/>
        <v>0</v>
      </c>
      <c r="N86" s="191">
        <f t="shared" si="92"/>
        <v>0</v>
      </c>
      <c r="O86" s="193">
        <f t="shared" si="93"/>
        <v>0</v>
      </c>
    </row>
    <row r="87" spans="1:17" x14ac:dyDescent="0.25">
      <c r="A87" s="180" t="str">
        <f t="shared" ref="A87:C87" si="130">+A42</f>
        <v>Tornillos</v>
      </c>
      <c r="B87" s="173">
        <f t="shared" si="130"/>
        <v>507524.99999999994</v>
      </c>
      <c r="C87" s="181" t="str">
        <f t="shared" si="130"/>
        <v>u</v>
      </c>
      <c r="D87" s="191">
        <f t="shared" si="82"/>
        <v>169174.99999999997</v>
      </c>
      <c r="E87" s="192">
        <f t="shared" si="83"/>
        <v>0</v>
      </c>
      <c r="F87" s="191">
        <f t="shared" si="84"/>
        <v>0</v>
      </c>
      <c r="G87" s="192">
        <f t="shared" si="85"/>
        <v>0</v>
      </c>
      <c r="H87" s="191">
        <f t="shared" si="86"/>
        <v>0</v>
      </c>
      <c r="I87" s="192">
        <f t="shared" si="87"/>
        <v>169174.99999999997</v>
      </c>
      <c r="J87" s="191">
        <f t="shared" si="88"/>
        <v>0</v>
      </c>
      <c r="K87" s="192">
        <f t="shared" si="89"/>
        <v>0</v>
      </c>
      <c r="L87" s="191">
        <f t="shared" si="90"/>
        <v>0</v>
      </c>
      <c r="M87" s="192">
        <f t="shared" si="91"/>
        <v>0</v>
      </c>
      <c r="N87" s="191">
        <f t="shared" si="92"/>
        <v>169174.99999999997</v>
      </c>
      <c r="O87" s="193">
        <f t="shared" si="93"/>
        <v>0</v>
      </c>
    </row>
    <row r="88" spans="1:17" ht="15.75" thickBot="1" x14ac:dyDescent="0.3">
      <c r="A88" s="182" t="str">
        <f t="shared" ref="A88:C88" si="131">+A43</f>
        <v>Transistor mosfet N</v>
      </c>
      <c r="B88" s="183">
        <f t="shared" si="131"/>
        <v>153011.24999999994</v>
      </c>
      <c r="C88" s="184" t="str">
        <f t="shared" si="131"/>
        <v>u</v>
      </c>
      <c r="D88" s="194">
        <f t="shared" si="82"/>
        <v>0</v>
      </c>
      <c r="E88" s="195">
        <f t="shared" si="83"/>
        <v>0</v>
      </c>
      <c r="F88" s="194">
        <f t="shared" si="84"/>
        <v>76505.624999999971</v>
      </c>
      <c r="G88" s="195">
        <f t="shared" si="85"/>
        <v>0</v>
      </c>
      <c r="H88" s="194">
        <f t="shared" si="86"/>
        <v>0</v>
      </c>
      <c r="I88" s="195">
        <f t="shared" si="87"/>
        <v>0</v>
      </c>
      <c r="J88" s="194">
        <f t="shared" si="88"/>
        <v>0</v>
      </c>
      <c r="K88" s="195">
        <f t="shared" si="89"/>
        <v>76505.624999999971</v>
      </c>
      <c r="L88" s="194">
        <f t="shared" si="90"/>
        <v>0</v>
      </c>
      <c r="M88" s="195">
        <f t="shared" si="91"/>
        <v>0</v>
      </c>
      <c r="N88" s="194">
        <f t="shared" si="92"/>
        <v>0</v>
      </c>
      <c r="O88" s="196">
        <f t="shared" si="93"/>
        <v>0</v>
      </c>
    </row>
    <row r="89" spans="1:17" x14ac:dyDescent="0.25">
      <c r="A89" s="125"/>
      <c r="B89" s="125"/>
      <c r="C89" s="125"/>
    </row>
    <row r="90" spans="1:17" x14ac:dyDescent="0.25">
      <c r="A90" s="125"/>
      <c r="B90" s="125"/>
      <c r="C90" s="125"/>
    </row>
    <row r="91" spans="1:17" ht="15.75" thickBot="1" x14ac:dyDescent="0.3">
      <c r="A91" s="98" t="s">
        <v>266</v>
      </c>
      <c r="C91" s="125"/>
      <c r="D91" s="125"/>
      <c r="E91" s="125"/>
      <c r="F91" s="125"/>
    </row>
    <row r="92" spans="1:17" ht="15.75" thickBot="1" x14ac:dyDescent="0.3">
      <c r="A92" s="175" t="s">
        <v>5</v>
      </c>
      <c r="B92" s="176" t="s">
        <v>267</v>
      </c>
      <c r="C92" s="177" t="s">
        <v>246</v>
      </c>
      <c r="D92" s="152" t="s">
        <v>247</v>
      </c>
      <c r="E92" s="188" t="s">
        <v>248</v>
      </c>
      <c r="F92" s="186" t="s">
        <v>249</v>
      </c>
      <c r="G92" s="188" t="s">
        <v>250</v>
      </c>
      <c r="H92" s="186" t="s">
        <v>251</v>
      </c>
      <c r="I92" s="188" t="s">
        <v>252</v>
      </c>
      <c r="J92" s="186" t="s">
        <v>253</v>
      </c>
      <c r="K92" s="188" t="s">
        <v>254</v>
      </c>
      <c r="L92" s="186" t="s">
        <v>255</v>
      </c>
      <c r="M92" s="188" t="s">
        <v>256</v>
      </c>
      <c r="N92" s="186" t="s">
        <v>257</v>
      </c>
      <c r="O92" s="188" t="s">
        <v>258</v>
      </c>
      <c r="P92" s="176" t="s">
        <v>267</v>
      </c>
      <c r="Q92" s="177" t="s">
        <v>246</v>
      </c>
    </row>
    <row r="93" spans="1:17" x14ac:dyDescent="0.25">
      <c r="A93" s="178" t="str">
        <f>+A49</f>
        <v>Baquelita</v>
      </c>
      <c r="B93" s="174">
        <f>+SUM(D93:O93)/COUNT(D93:O93)</f>
        <v>10048.437500000002</v>
      </c>
      <c r="C93" s="179" t="str">
        <f t="shared" ref="C93" si="132">+C49</f>
        <v>kg</v>
      </c>
      <c r="D93" s="191">
        <f>+F4</f>
        <v>2000</v>
      </c>
      <c r="E93" s="192">
        <f>+H4</f>
        <v>14292.159090909092</v>
      </c>
      <c r="F93" s="191">
        <f>+J4</f>
        <v>7268.0681818181829</v>
      </c>
      <c r="G93" s="192">
        <f>+L4</f>
        <v>243.97727272727388</v>
      </c>
      <c r="H93" s="191">
        <f>+N4</f>
        <v>12536.136363636364</v>
      </c>
      <c r="I93" s="192">
        <f>+P4</f>
        <v>5512.045454545455</v>
      </c>
      <c r="J93" s="191">
        <f>+R4</f>
        <v>17804.204545454548</v>
      </c>
      <c r="K93" s="192">
        <f>+T4</f>
        <v>10780.11363636364</v>
      </c>
      <c r="L93" s="191">
        <f>+V4</f>
        <v>3756.0227272727307</v>
      </c>
      <c r="M93" s="192">
        <f>+X4</f>
        <v>16048.181818181823</v>
      </c>
      <c r="N93" s="191">
        <f>+Z4</f>
        <v>9024.0909090909154</v>
      </c>
      <c r="O93" s="193">
        <f>+AB4</f>
        <v>21316.250000000007</v>
      </c>
      <c r="P93" s="174">
        <f>+B93/VLOOKUP(A93,'Ejercicio 1'!$E$40:$I$80,4,FALSE)</f>
        <v>6698.9583333333348</v>
      </c>
      <c r="Q93" s="179" t="s">
        <v>268</v>
      </c>
    </row>
    <row r="94" spans="1:17" x14ac:dyDescent="0.25">
      <c r="A94" s="180" t="str">
        <f t="shared" ref="A94:C94" si="133">+A50</f>
        <v>Bateria</v>
      </c>
      <c r="B94" s="174">
        <f t="shared" ref="B94:B132" si="134">+SUM(D94:O94)/COUNT(D94:O94)</f>
        <v>6760.4166666666652</v>
      </c>
      <c r="C94" s="181" t="str">
        <f t="shared" si="133"/>
        <v>u</v>
      </c>
      <c r="D94" s="191">
        <f t="shared" ref="D94:D132" si="135">+F5</f>
        <v>1500</v>
      </c>
      <c r="E94" s="192">
        <f t="shared" ref="E94:E132" si="136">+H5</f>
        <v>9534.0909090909081</v>
      </c>
      <c r="F94" s="191">
        <f t="shared" ref="F94:F132" si="137">+J5</f>
        <v>4943.1818181818171</v>
      </c>
      <c r="G94" s="192">
        <f t="shared" ref="G94:G132" si="138">+L5</f>
        <v>352.27272727272612</v>
      </c>
      <c r="H94" s="191">
        <f t="shared" ref="H94:H132" si="139">+N5</f>
        <v>8386.363636363636</v>
      </c>
      <c r="I94" s="192">
        <f t="shared" ref="I94:I132" si="140">+P5</f>
        <v>3795.454545454545</v>
      </c>
      <c r="J94" s="191">
        <f t="shared" ref="J94:J132" si="141">+R5</f>
        <v>11829.545454545452</v>
      </c>
      <c r="K94" s="192">
        <f t="shared" ref="K94:K132" si="142">+T5</f>
        <v>7238.6363636363612</v>
      </c>
      <c r="L94" s="191">
        <f t="shared" ref="L94:L132" si="143">+V5</f>
        <v>2647.7272727272702</v>
      </c>
      <c r="M94" s="192">
        <f t="shared" ref="M94:M132" si="144">+X5</f>
        <v>10681.81818181818</v>
      </c>
      <c r="N94" s="191">
        <f t="shared" ref="N94:N132" si="145">+Z5</f>
        <v>6090.9090909090892</v>
      </c>
      <c r="O94" s="193">
        <f t="shared" ref="O94:O132" si="146">+AB5</f>
        <v>14124.999999999996</v>
      </c>
      <c r="P94" s="174">
        <f>+B94/VLOOKUP(A94,'Ejercicio 1'!$E$40:$I$80,4,FALSE)</f>
        <v>6760.4166666666652</v>
      </c>
      <c r="Q94" s="181" t="s">
        <v>268</v>
      </c>
    </row>
    <row r="95" spans="1:17" x14ac:dyDescent="0.25">
      <c r="A95" s="180" t="str">
        <f t="shared" ref="A95:C95" si="147">+A51</f>
        <v>Bolsa Plastica</v>
      </c>
      <c r="B95" s="173">
        <f t="shared" si="134"/>
        <v>6912.5000000000027</v>
      </c>
      <c r="C95" s="181" t="str">
        <f t="shared" si="147"/>
        <v>u</v>
      </c>
      <c r="D95" s="191">
        <f t="shared" si="135"/>
        <v>1600</v>
      </c>
      <c r="E95" s="192">
        <f t="shared" si="136"/>
        <v>9713.636363636364</v>
      </c>
      <c r="F95" s="191">
        <f t="shared" si="137"/>
        <v>5077.2727272727279</v>
      </c>
      <c r="G95" s="192">
        <f t="shared" si="138"/>
        <v>440.9090909090919</v>
      </c>
      <c r="H95" s="191">
        <f t="shared" si="139"/>
        <v>8554.5454545454559</v>
      </c>
      <c r="I95" s="192">
        <f t="shared" si="140"/>
        <v>3918.1818181818198</v>
      </c>
      <c r="J95" s="191">
        <f t="shared" si="141"/>
        <v>12031.818181818184</v>
      </c>
      <c r="K95" s="192">
        <f t="shared" si="142"/>
        <v>7395.4545454545478</v>
      </c>
      <c r="L95" s="191">
        <f t="shared" si="143"/>
        <v>2759.0909090909117</v>
      </c>
      <c r="M95" s="192">
        <f t="shared" si="144"/>
        <v>10872.727272727276</v>
      </c>
      <c r="N95" s="191">
        <f t="shared" si="145"/>
        <v>6236.3636363636397</v>
      </c>
      <c r="O95" s="193">
        <f t="shared" si="146"/>
        <v>14350.000000000004</v>
      </c>
      <c r="P95" s="173">
        <f>+B95/VLOOKUP(A95,'Ejercicio 1'!$E$40:$I$80,4,FALSE)</f>
        <v>6912.5000000000027</v>
      </c>
      <c r="Q95" s="181" t="s">
        <v>268</v>
      </c>
    </row>
    <row r="96" spans="1:17" x14ac:dyDescent="0.25">
      <c r="A96" s="180" t="str">
        <f t="shared" ref="A96:C96" si="148">+A52</f>
        <v>Cable</v>
      </c>
      <c r="B96" s="173">
        <f t="shared" si="134"/>
        <v>3684.3749999999995</v>
      </c>
      <c r="C96" s="181" t="str">
        <f t="shared" si="148"/>
        <v>mts</v>
      </c>
      <c r="D96" s="191">
        <f t="shared" si="135"/>
        <v>2000</v>
      </c>
      <c r="E96" s="192">
        <f t="shared" si="136"/>
        <v>4471.590909090909</v>
      </c>
      <c r="F96" s="191">
        <f t="shared" si="137"/>
        <v>3080.681818181818</v>
      </c>
      <c r="G96" s="192">
        <f t="shared" si="138"/>
        <v>1689.772727272727</v>
      </c>
      <c r="H96" s="191">
        <f t="shared" si="139"/>
        <v>4161.363636363636</v>
      </c>
      <c r="I96" s="192">
        <f t="shared" si="140"/>
        <v>2770.454545454545</v>
      </c>
      <c r="J96" s="191">
        <f t="shared" si="141"/>
        <v>5242.045454545454</v>
      </c>
      <c r="K96" s="192">
        <f t="shared" si="142"/>
        <v>3851.1363636363631</v>
      </c>
      <c r="L96" s="191">
        <f t="shared" si="143"/>
        <v>2460.2272727272721</v>
      </c>
      <c r="M96" s="192">
        <f t="shared" si="144"/>
        <v>4931.8181818181811</v>
      </c>
      <c r="N96" s="191">
        <f t="shared" si="145"/>
        <v>3540.9090909090901</v>
      </c>
      <c r="O96" s="193">
        <f t="shared" si="146"/>
        <v>6012.4999999999991</v>
      </c>
      <c r="P96" s="173">
        <f>+B96/VLOOKUP(A96,'Ejercicio 1'!$E$40:$I$80,4,FALSE)</f>
        <v>12281.249999999998</v>
      </c>
      <c r="Q96" s="181" t="s">
        <v>268</v>
      </c>
    </row>
    <row r="97" spans="1:17" x14ac:dyDescent="0.25">
      <c r="A97" s="180" t="str">
        <f t="shared" ref="A97:C97" si="149">+A53</f>
        <v>Caja Carton</v>
      </c>
      <c r="B97" s="173">
        <f t="shared" si="134"/>
        <v>6660.4166666666652</v>
      </c>
      <c r="C97" s="181" t="str">
        <f t="shared" si="149"/>
        <v>u</v>
      </c>
      <c r="D97" s="191">
        <f t="shared" si="135"/>
        <v>1400</v>
      </c>
      <c r="E97" s="192">
        <f t="shared" si="136"/>
        <v>9434.0909090909081</v>
      </c>
      <c r="F97" s="191">
        <f t="shared" si="137"/>
        <v>4843.1818181818171</v>
      </c>
      <c r="G97" s="192">
        <f t="shared" si="138"/>
        <v>252.27272727272612</v>
      </c>
      <c r="H97" s="191">
        <f t="shared" si="139"/>
        <v>8286.363636363636</v>
      </c>
      <c r="I97" s="192">
        <f t="shared" si="140"/>
        <v>3695.454545454545</v>
      </c>
      <c r="J97" s="191">
        <f t="shared" si="141"/>
        <v>11729.545454545452</v>
      </c>
      <c r="K97" s="192">
        <f t="shared" si="142"/>
        <v>7138.6363636363612</v>
      </c>
      <c r="L97" s="191">
        <f t="shared" si="143"/>
        <v>2547.7272727272702</v>
      </c>
      <c r="M97" s="192">
        <f t="shared" si="144"/>
        <v>10581.81818181818</v>
      </c>
      <c r="N97" s="191">
        <f t="shared" si="145"/>
        <v>5990.9090909090892</v>
      </c>
      <c r="O97" s="193">
        <f t="shared" si="146"/>
        <v>14024.999999999996</v>
      </c>
      <c r="P97" s="173">
        <f>+B97/VLOOKUP(A97,'Ejercicio 1'!$E$40:$I$80,4,FALSE)</f>
        <v>6660.4166666666652</v>
      </c>
      <c r="Q97" s="181" t="s">
        <v>268</v>
      </c>
    </row>
    <row r="98" spans="1:17" x14ac:dyDescent="0.25">
      <c r="A98" s="180" t="str">
        <f t="shared" ref="A98:C98" si="150">+A54</f>
        <v>Capacitor electrolitico de 0,1 uf</v>
      </c>
      <c r="B98" s="173">
        <f t="shared" si="134"/>
        <v>121053.74999999993</v>
      </c>
      <c r="C98" s="181" t="str">
        <f t="shared" si="150"/>
        <v>u</v>
      </c>
      <c r="D98" s="191">
        <f t="shared" si="135"/>
        <v>60000</v>
      </c>
      <c r="E98" s="192">
        <f t="shared" si="136"/>
        <v>17652.954545454544</v>
      </c>
      <c r="F98" s="191">
        <f t="shared" si="137"/>
        <v>210475.90909090906</v>
      </c>
      <c r="G98" s="192">
        <f t="shared" si="138"/>
        <v>168128.86363636359</v>
      </c>
      <c r="H98" s="191">
        <f t="shared" si="139"/>
        <v>125781.81818181813</v>
      </c>
      <c r="I98" s="192">
        <f t="shared" si="140"/>
        <v>83434.772727272677</v>
      </c>
      <c r="J98" s="191">
        <f t="shared" si="141"/>
        <v>41087.727272727221</v>
      </c>
      <c r="K98" s="192">
        <f t="shared" si="142"/>
        <v>233910.68181818171</v>
      </c>
      <c r="L98" s="191">
        <f t="shared" si="143"/>
        <v>191563.63636363624</v>
      </c>
      <c r="M98" s="192">
        <f t="shared" si="144"/>
        <v>149216.59090909077</v>
      </c>
      <c r="N98" s="191">
        <f t="shared" si="145"/>
        <v>106869.54545454531</v>
      </c>
      <c r="O98" s="193">
        <f t="shared" si="146"/>
        <v>64522.499999999854</v>
      </c>
      <c r="P98" s="173">
        <f>+B98/VLOOKUP(A98,'Ejercicio 1'!$E$40:$I$80,4,FALSE)</f>
        <v>13450.416666666659</v>
      </c>
      <c r="Q98" s="181" t="s">
        <v>268</v>
      </c>
    </row>
    <row r="99" spans="1:17" x14ac:dyDescent="0.25">
      <c r="A99" s="180" t="str">
        <f t="shared" ref="A99:C99" si="151">+A55</f>
        <v>Capacitor electrolitico de 1 uf</v>
      </c>
      <c r="B99" s="173">
        <f t="shared" si="134"/>
        <v>54134.999999999993</v>
      </c>
      <c r="C99" s="181" t="str">
        <f t="shared" si="151"/>
        <v>u</v>
      </c>
      <c r="D99" s="191">
        <f t="shared" si="135"/>
        <v>27000</v>
      </c>
      <c r="E99" s="192">
        <f t="shared" si="136"/>
        <v>8179.0909090909081</v>
      </c>
      <c r="F99" s="191">
        <f t="shared" si="137"/>
        <v>93878.181818181809</v>
      </c>
      <c r="G99" s="192">
        <f t="shared" si="138"/>
        <v>75057.272727272721</v>
      </c>
      <c r="H99" s="191">
        <f t="shared" si="139"/>
        <v>56236.363636363632</v>
      </c>
      <c r="I99" s="192">
        <f t="shared" si="140"/>
        <v>37415.454545454544</v>
      </c>
      <c r="J99" s="191">
        <f t="shared" si="141"/>
        <v>18594.545454545452</v>
      </c>
      <c r="K99" s="192">
        <f t="shared" si="142"/>
        <v>104293.63636363635</v>
      </c>
      <c r="L99" s="191">
        <f t="shared" si="143"/>
        <v>85472.727272727265</v>
      </c>
      <c r="M99" s="192">
        <f t="shared" si="144"/>
        <v>66651.818181818177</v>
      </c>
      <c r="N99" s="191">
        <f t="shared" si="145"/>
        <v>47830.909090909088</v>
      </c>
      <c r="O99" s="193">
        <f t="shared" si="146"/>
        <v>29009.999999999996</v>
      </c>
      <c r="P99" s="173">
        <f>+B99/VLOOKUP(A99,'Ejercicio 1'!$E$40:$I$80,4,FALSE)</f>
        <v>13533.749999999998</v>
      </c>
      <c r="Q99" s="181" t="s">
        <v>268</v>
      </c>
    </row>
    <row r="100" spans="1:17" x14ac:dyDescent="0.25">
      <c r="A100" s="180" t="str">
        <f t="shared" ref="A100:C100" si="152">+A56</f>
        <v>Capacitor electrolitico de 10 uf</v>
      </c>
      <c r="B100" s="173">
        <f t="shared" si="134"/>
        <v>14606.249999999998</v>
      </c>
      <c r="C100" s="181" t="str">
        <f t="shared" si="152"/>
        <v>u</v>
      </c>
      <c r="D100" s="191">
        <f t="shared" si="135"/>
        <v>27419.999999999996</v>
      </c>
      <c r="E100" s="192">
        <f t="shared" si="136"/>
        <v>22714.772727272724</v>
      </c>
      <c r="F100" s="191">
        <f t="shared" si="137"/>
        <v>18009.545454545452</v>
      </c>
      <c r="G100" s="192">
        <f t="shared" si="138"/>
        <v>13304.31818181818</v>
      </c>
      <c r="H100" s="191">
        <f t="shared" si="139"/>
        <v>8599.0909090909081</v>
      </c>
      <c r="I100" s="192">
        <f t="shared" si="140"/>
        <v>21313.863636363632</v>
      </c>
      <c r="J100" s="191">
        <f t="shared" si="141"/>
        <v>16608.63636363636</v>
      </c>
      <c r="K100" s="192">
        <f t="shared" si="142"/>
        <v>11903.409090909088</v>
      </c>
      <c r="L100" s="191">
        <f t="shared" si="143"/>
        <v>7198.1818181818153</v>
      </c>
      <c r="M100" s="192">
        <f t="shared" si="144"/>
        <v>2492.9545454545423</v>
      </c>
      <c r="N100" s="191">
        <f t="shared" si="145"/>
        <v>15207.727272727265</v>
      </c>
      <c r="O100" s="193">
        <f t="shared" si="146"/>
        <v>10502.499999999993</v>
      </c>
      <c r="P100" s="173">
        <f>+B100/VLOOKUP(A100,'Ejercicio 1'!$E$40:$I$80,4,FALSE)</f>
        <v>14606.249999999998</v>
      </c>
      <c r="Q100" s="181" t="s">
        <v>268</v>
      </c>
    </row>
    <row r="101" spans="1:17" x14ac:dyDescent="0.25">
      <c r="A101" s="180" t="str">
        <f t="shared" ref="A101:C101" si="153">+A57</f>
        <v>Capacitor electrolitico de 22pf</v>
      </c>
      <c r="B101" s="173">
        <f t="shared" si="134"/>
        <v>23567.5</v>
      </c>
      <c r="C101" s="181" t="str">
        <f t="shared" si="153"/>
        <v>u</v>
      </c>
      <c r="D101" s="191">
        <f t="shared" si="135"/>
        <v>10000</v>
      </c>
      <c r="E101" s="192">
        <f t="shared" si="136"/>
        <v>589.54545454545405</v>
      </c>
      <c r="F101" s="191">
        <f t="shared" si="137"/>
        <v>43439.090909090904</v>
      </c>
      <c r="G101" s="192">
        <f t="shared" si="138"/>
        <v>34028.63636363636</v>
      </c>
      <c r="H101" s="191">
        <f t="shared" si="139"/>
        <v>24618.181818181816</v>
      </c>
      <c r="I101" s="192">
        <f t="shared" si="140"/>
        <v>15207.72727272727</v>
      </c>
      <c r="J101" s="191">
        <f t="shared" si="141"/>
        <v>5797.2727272727243</v>
      </c>
      <c r="K101" s="192">
        <f t="shared" si="142"/>
        <v>48646.818181818177</v>
      </c>
      <c r="L101" s="191">
        <f t="shared" si="143"/>
        <v>39236.363636363632</v>
      </c>
      <c r="M101" s="192">
        <f t="shared" si="144"/>
        <v>29825.909090909088</v>
      </c>
      <c r="N101" s="191">
        <f t="shared" si="145"/>
        <v>20415.454545454544</v>
      </c>
      <c r="O101" s="193">
        <f t="shared" si="146"/>
        <v>11004.999999999998</v>
      </c>
      <c r="P101" s="173">
        <f>+B101/VLOOKUP(A101,'Ejercicio 1'!$E$40:$I$80,4,FALSE)</f>
        <v>11783.75</v>
      </c>
      <c r="Q101" s="181" t="s">
        <v>268</v>
      </c>
    </row>
    <row r="102" spans="1:17" x14ac:dyDescent="0.25">
      <c r="A102" s="180" t="str">
        <f t="shared" ref="A102:C102" si="154">+A58</f>
        <v>Cargador</v>
      </c>
      <c r="B102" s="173">
        <f t="shared" si="134"/>
        <v>13208.333333333328</v>
      </c>
      <c r="C102" s="181" t="str">
        <f t="shared" si="154"/>
        <v>u</v>
      </c>
      <c r="D102" s="191">
        <f t="shared" si="135"/>
        <v>25833.333333333332</v>
      </c>
      <c r="E102" s="192">
        <f t="shared" si="136"/>
        <v>21242.42424242424</v>
      </c>
      <c r="F102" s="191">
        <f t="shared" si="137"/>
        <v>16651.515151515148</v>
      </c>
      <c r="G102" s="192">
        <f t="shared" si="138"/>
        <v>12060.606060606056</v>
      </c>
      <c r="H102" s="191">
        <f t="shared" si="139"/>
        <v>7469.6969696969654</v>
      </c>
      <c r="I102" s="192">
        <f t="shared" si="140"/>
        <v>19712.121212121205</v>
      </c>
      <c r="J102" s="191">
        <f t="shared" si="141"/>
        <v>15121.212121212113</v>
      </c>
      <c r="K102" s="192">
        <f t="shared" si="142"/>
        <v>10530.303030303021</v>
      </c>
      <c r="L102" s="191">
        <f t="shared" si="143"/>
        <v>5939.3939393939299</v>
      </c>
      <c r="M102" s="192">
        <f t="shared" si="144"/>
        <v>1348.4848484848389</v>
      </c>
      <c r="N102" s="191">
        <f t="shared" si="145"/>
        <v>13590.909090909077</v>
      </c>
      <c r="O102" s="193">
        <f t="shared" si="146"/>
        <v>8999.9999999999854</v>
      </c>
      <c r="P102" s="173">
        <f>+B102/VLOOKUP(A102,'Ejercicio 1'!$E$40:$I$80,4,FALSE)</f>
        <v>13208.333333333328</v>
      </c>
      <c r="Q102" s="181" t="s">
        <v>268</v>
      </c>
    </row>
    <row r="103" spans="1:17" x14ac:dyDescent="0.25">
      <c r="A103" s="180" t="str">
        <f t="shared" ref="A103:C103" si="155">+A59</f>
        <v>Circuito integrado amplificador operacional TL082D</v>
      </c>
      <c r="B103" s="173">
        <f t="shared" si="134"/>
        <v>7865.6250000000009</v>
      </c>
      <c r="C103" s="181" t="str">
        <f t="shared" si="155"/>
        <v>u</v>
      </c>
      <c r="D103" s="191">
        <f t="shared" si="135"/>
        <v>2500</v>
      </c>
      <c r="E103" s="192">
        <f t="shared" si="136"/>
        <v>10694.772727272728</v>
      </c>
      <c r="F103" s="191">
        <f t="shared" si="137"/>
        <v>6012.045454545455</v>
      </c>
      <c r="G103" s="192">
        <f t="shared" si="138"/>
        <v>1329.318181818182</v>
      </c>
      <c r="H103" s="191">
        <f t="shared" si="139"/>
        <v>9524.0909090909081</v>
      </c>
      <c r="I103" s="192">
        <f t="shared" si="140"/>
        <v>4841.3636363636351</v>
      </c>
      <c r="J103" s="191">
        <f t="shared" si="141"/>
        <v>13036.136363636364</v>
      </c>
      <c r="K103" s="192">
        <f t="shared" si="142"/>
        <v>8353.4090909090919</v>
      </c>
      <c r="L103" s="191">
        <f t="shared" si="143"/>
        <v>3670.6818181818189</v>
      </c>
      <c r="M103" s="192">
        <f t="shared" si="144"/>
        <v>11865.454545454548</v>
      </c>
      <c r="N103" s="191">
        <f t="shared" si="145"/>
        <v>7182.7272727272748</v>
      </c>
      <c r="O103" s="193">
        <f t="shared" si="146"/>
        <v>15377.500000000004</v>
      </c>
      <c r="P103" s="173">
        <f>+B103/VLOOKUP(A103,'Ejercicio 1'!$E$40:$I$80,4,FALSE)</f>
        <v>7865.6250000000009</v>
      </c>
      <c r="Q103" s="181" t="s">
        <v>268</v>
      </c>
    </row>
    <row r="104" spans="1:17" x14ac:dyDescent="0.25">
      <c r="A104" s="180" t="str">
        <f t="shared" ref="A104:C104" si="156">+A60</f>
        <v>Circuito integrado bluetooth</v>
      </c>
      <c r="B104" s="173">
        <f t="shared" si="134"/>
        <v>7865.6250000000009</v>
      </c>
      <c r="C104" s="181" t="str">
        <f t="shared" si="156"/>
        <v>u</v>
      </c>
      <c r="D104" s="191">
        <f t="shared" si="135"/>
        <v>2500</v>
      </c>
      <c r="E104" s="192">
        <f t="shared" si="136"/>
        <v>10694.772727272728</v>
      </c>
      <c r="F104" s="191">
        <f t="shared" si="137"/>
        <v>6012.045454545455</v>
      </c>
      <c r="G104" s="192">
        <f t="shared" si="138"/>
        <v>1329.318181818182</v>
      </c>
      <c r="H104" s="191">
        <f t="shared" si="139"/>
        <v>9524.0909090909081</v>
      </c>
      <c r="I104" s="192">
        <f t="shared" si="140"/>
        <v>4841.3636363636351</v>
      </c>
      <c r="J104" s="191">
        <f t="shared" si="141"/>
        <v>13036.136363636364</v>
      </c>
      <c r="K104" s="192">
        <f t="shared" si="142"/>
        <v>8353.4090909090919</v>
      </c>
      <c r="L104" s="191">
        <f t="shared" si="143"/>
        <v>3670.6818181818189</v>
      </c>
      <c r="M104" s="192">
        <f t="shared" si="144"/>
        <v>11865.454545454548</v>
      </c>
      <c r="N104" s="191">
        <f t="shared" si="145"/>
        <v>7182.7272727272748</v>
      </c>
      <c r="O104" s="193">
        <f t="shared" si="146"/>
        <v>15377.500000000004</v>
      </c>
      <c r="P104" s="173">
        <f>+B104/VLOOKUP(A104,'Ejercicio 1'!$E$40:$I$80,4,FALSE)</f>
        <v>7865.6250000000009</v>
      </c>
      <c r="Q104" s="181" t="s">
        <v>268</v>
      </c>
    </row>
    <row r="105" spans="1:17" x14ac:dyDescent="0.25">
      <c r="A105" s="180" t="str">
        <f t="shared" ref="A105:C105" si="157">+A61</f>
        <v>Circuito integrado DIP8</v>
      </c>
      <c r="B105" s="173">
        <f t="shared" si="134"/>
        <v>16365.625000000005</v>
      </c>
      <c r="C105" s="181" t="str">
        <f t="shared" si="157"/>
        <v>u</v>
      </c>
      <c r="D105" s="191">
        <f t="shared" si="135"/>
        <v>11000</v>
      </c>
      <c r="E105" s="192">
        <f t="shared" si="136"/>
        <v>19194.772727272728</v>
      </c>
      <c r="F105" s="191">
        <f t="shared" si="137"/>
        <v>14512.045454545456</v>
      </c>
      <c r="G105" s="192">
        <f t="shared" si="138"/>
        <v>9829.3181818181838</v>
      </c>
      <c r="H105" s="191">
        <f t="shared" si="139"/>
        <v>18024.090909090912</v>
      </c>
      <c r="I105" s="192">
        <f t="shared" si="140"/>
        <v>13341.36363636364</v>
      </c>
      <c r="J105" s="191">
        <f t="shared" si="141"/>
        <v>21536.136363636368</v>
      </c>
      <c r="K105" s="192">
        <f t="shared" si="142"/>
        <v>16853.409090909096</v>
      </c>
      <c r="L105" s="191">
        <f t="shared" si="143"/>
        <v>12170.681818181823</v>
      </c>
      <c r="M105" s="192">
        <f t="shared" si="144"/>
        <v>20365.454545454551</v>
      </c>
      <c r="N105" s="191">
        <f t="shared" si="145"/>
        <v>15682.727272727279</v>
      </c>
      <c r="O105" s="193">
        <f t="shared" si="146"/>
        <v>23877.500000000007</v>
      </c>
      <c r="P105" s="173">
        <f>+B105/VLOOKUP(A105,'Ejercicio 1'!$E$40:$I$80,4,FALSE)</f>
        <v>16365.625000000005</v>
      </c>
      <c r="Q105" s="181" t="s">
        <v>268</v>
      </c>
    </row>
    <row r="106" spans="1:17" x14ac:dyDescent="0.25">
      <c r="A106" s="180" t="str">
        <f t="shared" ref="A106:C106" si="158">+A62</f>
        <v>Circuito integrado LM393P</v>
      </c>
      <c r="B106" s="173">
        <f t="shared" si="134"/>
        <v>15365.625000000005</v>
      </c>
      <c r="C106" s="181" t="str">
        <f t="shared" si="158"/>
        <v>u</v>
      </c>
      <c r="D106" s="191">
        <f t="shared" si="135"/>
        <v>10000</v>
      </c>
      <c r="E106" s="192">
        <f t="shared" si="136"/>
        <v>18194.772727272728</v>
      </c>
      <c r="F106" s="191">
        <f t="shared" si="137"/>
        <v>13512.045454545456</v>
      </c>
      <c r="G106" s="192">
        <f t="shared" si="138"/>
        <v>8829.3181818181838</v>
      </c>
      <c r="H106" s="191">
        <f t="shared" si="139"/>
        <v>17024.090909090912</v>
      </c>
      <c r="I106" s="192">
        <f t="shared" si="140"/>
        <v>12341.36363636364</v>
      </c>
      <c r="J106" s="191">
        <f t="shared" si="141"/>
        <v>20536.136363636368</v>
      </c>
      <c r="K106" s="192">
        <f t="shared" si="142"/>
        <v>15853.409090909096</v>
      </c>
      <c r="L106" s="191">
        <f t="shared" si="143"/>
        <v>11170.681818181823</v>
      </c>
      <c r="M106" s="192">
        <f t="shared" si="144"/>
        <v>19365.454545454551</v>
      </c>
      <c r="N106" s="191">
        <f t="shared" si="145"/>
        <v>14682.727272727279</v>
      </c>
      <c r="O106" s="193">
        <f t="shared" si="146"/>
        <v>22877.500000000007</v>
      </c>
      <c r="P106" s="173">
        <f>+B106/VLOOKUP(A106,'Ejercicio 1'!$E$40:$I$80,4,FALSE)</f>
        <v>15365.625000000005</v>
      </c>
      <c r="Q106" s="181" t="s">
        <v>268</v>
      </c>
    </row>
    <row r="107" spans="1:17" x14ac:dyDescent="0.25">
      <c r="A107" s="180" t="str">
        <f t="shared" ref="A107:C107" si="159">+A63</f>
        <v>Circuito integrado MC6002</v>
      </c>
      <c r="B107" s="173">
        <f t="shared" si="134"/>
        <v>24292.5</v>
      </c>
      <c r="C107" s="181" t="str">
        <f t="shared" si="159"/>
        <v>u</v>
      </c>
      <c r="D107" s="191">
        <f t="shared" si="135"/>
        <v>20000</v>
      </c>
      <c r="E107" s="192">
        <f t="shared" si="136"/>
        <v>10634.545454545454</v>
      </c>
      <c r="F107" s="191">
        <f t="shared" si="137"/>
        <v>1269.0909090909081</v>
      </c>
      <c r="G107" s="192">
        <f t="shared" si="138"/>
        <v>43413.636363636368</v>
      </c>
      <c r="H107" s="191">
        <f t="shared" si="139"/>
        <v>34048.181818181823</v>
      </c>
      <c r="I107" s="192">
        <f t="shared" si="140"/>
        <v>24682.727272727279</v>
      </c>
      <c r="J107" s="191">
        <f t="shared" si="141"/>
        <v>15317.272727272733</v>
      </c>
      <c r="K107" s="192">
        <f t="shared" si="142"/>
        <v>5951.8181818181874</v>
      </c>
      <c r="L107" s="191">
        <f t="shared" si="143"/>
        <v>48096.363636363647</v>
      </c>
      <c r="M107" s="192">
        <f t="shared" si="144"/>
        <v>38730.909090909103</v>
      </c>
      <c r="N107" s="191">
        <f t="shared" si="145"/>
        <v>29365.454545454559</v>
      </c>
      <c r="O107" s="193">
        <f t="shared" si="146"/>
        <v>20000.000000000015</v>
      </c>
      <c r="P107" s="173">
        <f>+B107/VLOOKUP(A107,'Ejercicio 1'!$E$40:$I$80,4,FALSE)</f>
        <v>12146.25</v>
      </c>
      <c r="Q107" s="181" t="s">
        <v>268</v>
      </c>
    </row>
    <row r="108" spans="1:17" x14ac:dyDescent="0.25">
      <c r="A108" s="180" t="str">
        <f t="shared" ref="A108:C108" si="160">+A64</f>
        <v>Circuito integrado MC9508JM</v>
      </c>
      <c r="B108" s="173">
        <f t="shared" si="134"/>
        <v>7865.6250000000009</v>
      </c>
      <c r="C108" s="181" t="str">
        <f t="shared" si="160"/>
        <v>u</v>
      </c>
      <c r="D108" s="191">
        <f t="shared" si="135"/>
        <v>2500</v>
      </c>
      <c r="E108" s="192">
        <f t="shared" si="136"/>
        <v>10694.772727272728</v>
      </c>
      <c r="F108" s="191">
        <f t="shared" si="137"/>
        <v>6012.045454545455</v>
      </c>
      <c r="G108" s="192">
        <f t="shared" si="138"/>
        <v>1329.318181818182</v>
      </c>
      <c r="H108" s="191">
        <f t="shared" si="139"/>
        <v>9524.0909090909081</v>
      </c>
      <c r="I108" s="192">
        <f t="shared" si="140"/>
        <v>4841.3636363636351</v>
      </c>
      <c r="J108" s="191">
        <f t="shared" si="141"/>
        <v>13036.136363636364</v>
      </c>
      <c r="K108" s="192">
        <f t="shared" si="142"/>
        <v>8353.4090909090919</v>
      </c>
      <c r="L108" s="191">
        <f t="shared" si="143"/>
        <v>3670.6818181818189</v>
      </c>
      <c r="M108" s="192">
        <f t="shared" si="144"/>
        <v>11865.454545454548</v>
      </c>
      <c r="N108" s="191">
        <f t="shared" si="145"/>
        <v>7182.7272727272748</v>
      </c>
      <c r="O108" s="193">
        <f t="shared" si="146"/>
        <v>15377.500000000004</v>
      </c>
      <c r="P108" s="173">
        <f>+B108/VLOOKUP(A108,'Ejercicio 1'!$E$40:$I$80,4,FALSE)</f>
        <v>7865.6250000000009</v>
      </c>
      <c r="Q108" s="181" t="s">
        <v>268</v>
      </c>
    </row>
    <row r="109" spans="1:17" x14ac:dyDescent="0.25">
      <c r="A109" s="180" t="str">
        <f t="shared" ref="A109:C109" si="161">+A65</f>
        <v>Circuito integrado MC9S08SH8</v>
      </c>
      <c r="B109" s="173">
        <f t="shared" si="134"/>
        <v>7865.6250000000009</v>
      </c>
      <c r="C109" s="181" t="str">
        <f t="shared" si="161"/>
        <v>u</v>
      </c>
      <c r="D109" s="191">
        <f t="shared" si="135"/>
        <v>2500</v>
      </c>
      <c r="E109" s="192">
        <f t="shared" si="136"/>
        <v>10694.772727272728</v>
      </c>
      <c r="F109" s="191">
        <f t="shared" si="137"/>
        <v>6012.045454545455</v>
      </c>
      <c r="G109" s="192">
        <f t="shared" si="138"/>
        <v>1329.318181818182</v>
      </c>
      <c r="H109" s="191">
        <f t="shared" si="139"/>
        <v>9524.0909090909081</v>
      </c>
      <c r="I109" s="192">
        <f t="shared" si="140"/>
        <v>4841.3636363636351</v>
      </c>
      <c r="J109" s="191">
        <f t="shared" si="141"/>
        <v>13036.136363636364</v>
      </c>
      <c r="K109" s="192">
        <f t="shared" si="142"/>
        <v>8353.4090909090919</v>
      </c>
      <c r="L109" s="191">
        <f t="shared" si="143"/>
        <v>3670.6818181818189</v>
      </c>
      <c r="M109" s="192">
        <f t="shared" si="144"/>
        <v>11865.454545454548</v>
      </c>
      <c r="N109" s="191">
        <f t="shared" si="145"/>
        <v>7182.7272727272748</v>
      </c>
      <c r="O109" s="193">
        <f t="shared" si="146"/>
        <v>15377.500000000004</v>
      </c>
      <c r="P109" s="173">
        <f>+B109/VLOOKUP(A109,'Ejercicio 1'!$E$40:$I$80,4,FALSE)</f>
        <v>7865.6250000000009</v>
      </c>
      <c r="Q109" s="181" t="s">
        <v>268</v>
      </c>
    </row>
    <row r="110" spans="1:17" x14ac:dyDescent="0.25">
      <c r="A110" s="180" t="str">
        <f t="shared" ref="A110:C110" si="162">+A66</f>
        <v>Circuito integrado motor</v>
      </c>
      <c r="B110" s="173">
        <f t="shared" si="134"/>
        <v>7865.6250000000009</v>
      </c>
      <c r="C110" s="181" t="str">
        <f t="shared" si="162"/>
        <v>u</v>
      </c>
      <c r="D110" s="191">
        <f t="shared" si="135"/>
        <v>2500</v>
      </c>
      <c r="E110" s="192">
        <f t="shared" si="136"/>
        <v>10694.772727272728</v>
      </c>
      <c r="F110" s="191">
        <f t="shared" si="137"/>
        <v>6012.045454545455</v>
      </c>
      <c r="G110" s="192">
        <f t="shared" si="138"/>
        <v>1329.318181818182</v>
      </c>
      <c r="H110" s="191">
        <f t="shared" si="139"/>
        <v>9524.0909090909081</v>
      </c>
      <c r="I110" s="192">
        <f t="shared" si="140"/>
        <v>4841.3636363636351</v>
      </c>
      <c r="J110" s="191">
        <f t="shared" si="141"/>
        <v>13036.136363636364</v>
      </c>
      <c r="K110" s="192">
        <f t="shared" si="142"/>
        <v>8353.4090909090919</v>
      </c>
      <c r="L110" s="191">
        <f t="shared" si="143"/>
        <v>3670.6818181818189</v>
      </c>
      <c r="M110" s="192">
        <f t="shared" si="144"/>
        <v>11865.454545454548</v>
      </c>
      <c r="N110" s="191">
        <f t="shared" si="145"/>
        <v>7182.7272727272748</v>
      </c>
      <c r="O110" s="193">
        <f t="shared" si="146"/>
        <v>15377.500000000004</v>
      </c>
      <c r="P110" s="173">
        <f>+B110/VLOOKUP(A110,'Ejercicio 1'!$E$40:$I$80,4,FALSE)</f>
        <v>7865.6250000000009</v>
      </c>
      <c r="Q110" s="181" t="s">
        <v>268</v>
      </c>
    </row>
    <row r="111" spans="1:17" x14ac:dyDescent="0.25">
      <c r="A111" s="180" t="str">
        <f t="shared" ref="A111:C111" si="163">+A67</f>
        <v>Conector de 3 term</v>
      </c>
      <c r="B111" s="173">
        <f t="shared" si="134"/>
        <v>84377.499999999985</v>
      </c>
      <c r="C111" s="181" t="str">
        <f t="shared" si="163"/>
        <v>u</v>
      </c>
      <c r="D111" s="191">
        <f t="shared" si="135"/>
        <v>70000</v>
      </c>
      <c r="E111" s="192">
        <f t="shared" si="136"/>
        <v>42176.363636363632</v>
      </c>
      <c r="F111" s="191">
        <f t="shared" si="137"/>
        <v>14352.727272727268</v>
      </c>
      <c r="G111" s="192">
        <f t="shared" si="138"/>
        <v>141059.09090909091</v>
      </c>
      <c r="H111" s="191">
        <f t="shared" si="139"/>
        <v>113235.45454545454</v>
      </c>
      <c r="I111" s="192">
        <f t="shared" si="140"/>
        <v>85411.818181818177</v>
      </c>
      <c r="J111" s="191">
        <f t="shared" si="141"/>
        <v>57588.181818181809</v>
      </c>
      <c r="K111" s="192">
        <f t="shared" si="142"/>
        <v>29764.545454545445</v>
      </c>
      <c r="L111" s="191">
        <f t="shared" si="143"/>
        <v>156470.90909090909</v>
      </c>
      <c r="M111" s="192">
        <f t="shared" si="144"/>
        <v>128647.27272727272</v>
      </c>
      <c r="N111" s="191">
        <f t="shared" si="145"/>
        <v>100823.63636363635</v>
      </c>
      <c r="O111" s="193">
        <f t="shared" si="146"/>
        <v>72999.999999999985</v>
      </c>
      <c r="P111" s="173">
        <f>+B111/VLOOKUP(A111,'Ejercicio 1'!$E$40:$I$80,4,FALSE)</f>
        <v>14062.916666666664</v>
      </c>
      <c r="Q111" s="181" t="s">
        <v>268</v>
      </c>
    </row>
    <row r="112" spans="1:17" x14ac:dyDescent="0.25">
      <c r="A112" s="180" t="str">
        <f t="shared" ref="A112:C112" si="164">+A68</f>
        <v>Cristal de 12MHz</v>
      </c>
      <c r="B112" s="173">
        <f t="shared" si="134"/>
        <v>14208.333333333323</v>
      </c>
      <c r="C112" s="181" t="str">
        <f t="shared" si="164"/>
        <v>u</v>
      </c>
      <c r="D112" s="191">
        <f t="shared" si="135"/>
        <v>26833.333333333332</v>
      </c>
      <c r="E112" s="192">
        <f t="shared" si="136"/>
        <v>22242.42424242424</v>
      </c>
      <c r="F112" s="191">
        <f t="shared" si="137"/>
        <v>17651.515151515148</v>
      </c>
      <c r="G112" s="192">
        <f t="shared" si="138"/>
        <v>13060.606060606056</v>
      </c>
      <c r="H112" s="191">
        <f t="shared" si="139"/>
        <v>8469.6969696969645</v>
      </c>
      <c r="I112" s="192">
        <f t="shared" si="140"/>
        <v>20712.121212121205</v>
      </c>
      <c r="J112" s="191">
        <f t="shared" si="141"/>
        <v>16121.212121212113</v>
      </c>
      <c r="K112" s="192">
        <f t="shared" si="142"/>
        <v>11530.303030303021</v>
      </c>
      <c r="L112" s="191">
        <f t="shared" si="143"/>
        <v>6939.3939393939299</v>
      </c>
      <c r="M112" s="192">
        <f t="shared" si="144"/>
        <v>2348.4848484848389</v>
      </c>
      <c r="N112" s="191">
        <f t="shared" si="145"/>
        <v>14590.909090909077</v>
      </c>
      <c r="O112" s="193">
        <f t="shared" si="146"/>
        <v>9999.9999999999854</v>
      </c>
      <c r="P112" s="173">
        <f>+B112/VLOOKUP(A112,'Ejercicio 1'!$E$40:$I$80,4,FALSE)</f>
        <v>14208.333333333323</v>
      </c>
      <c r="Q112" s="181" t="s">
        <v>268</v>
      </c>
    </row>
    <row r="113" spans="1:17" x14ac:dyDescent="0.25">
      <c r="A113" s="180" t="str">
        <f t="shared" ref="A113:C113" si="165">+A69</f>
        <v>Diodo 1N4148</v>
      </c>
      <c r="B113" s="173">
        <f t="shared" si="134"/>
        <v>14208.333333333323</v>
      </c>
      <c r="C113" s="181" t="str">
        <f t="shared" si="165"/>
        <v>u</v>
      </c>
      <c r="D113" s="191">
        <f t="shared" si="135"/>
        <v>26833.333333333332</v>
      </c>
      <c r="E113" s="192">
        <f t="shared" si="136"/>
        <v>22242.42424242424</v>
      </c>
      <c r="F113" s="191">
        <f t="shared" si="137"/>
        <v>17651.515151515148</v>
      </c>
      <c r="G113" s="192">
        <f t="shared" si="138"/>
        <v>13060.606060606056</v>
      </c>
      <c r="H113" s="191">
        <f t="shared" si="139"/>
        <v>8469.6969696969645</v>
      </c>
      <c r="I113" s="192">
        <f t="shared" si="140"/>
        <v>20712.121212121205</v>
      </c>
      <c r="J113" s="191">
        <f t="shared" si="141"/>
        <v>16121.212121212113</v>
      </c>
      <c r="K113" s="192">
        <f t="shared" si="142"/>
        <v>11530.303030303021</v>
      </c>
      <c r="L113" s="191">
        <f t="shared" si="143"/>
        <v>6939.3939393939299</v>
      </c>
      <c r="M113" s="192">
        <f t="shared" si="144"/>
        <v>2348.4848484848389</v>
      </c>
      <c r="N113" s="191">
        <f t="shared" si="145"/>
        <v>14590.909090909077</v>
      </c>
      <c r="O113" s="193">
        <f t="shared" si="146"/>
        <v>9999.9999999999854</v>
      </c>
      <c r="P113" s="173">
        <f>+B113/VLOOKUP(A113,'Ejercicio 1'!$E$40:$I$80,4,FALSE)</f>
        <v>14208.333333333323</v>
      </c>
      <c r="Q113" s="181" t="s">
        <v>268</v>
      </c>
    </row>
    <row r="114" spans="1:17" x14ac:dyDescent="0.25">
      <c r="A114" s="180" t="str">
        <f t="shared" ref="A114:C114" si="166">+A70</f>
        <v>Diodos led</v>
      </c>
      <c r="B114" s="173">
        <f t="shared" si="134"/>
        <v>84729.166666666672</v>
      </c>
      <c r="C114" s="181" t="str">
        <f t="shared" si="166"/>
        <v>u</v>
      </c>
      <c r="D114" s="191">
        <f t="shared" si="135"/>
        <v>70000</v>
      </c>
      <c r="E114" s="192">
        <f t="shared" si="136"/>
        <v>37863.636363636368</v>
      </c>
      <c r="F114" s="191">
        <f t="shared" si="137"/>
        <v>5727.2727272727316</v>
      </c>
      <c r="G114" s="192">
        <f t="shared" si="138"/>
        <v>150340.90909090909</v>
      </c>
      <c r="H114" s="191">
        <f t="shared" si="139"/>
        <v>118204.54545454546</v>
      </c>
      <c r="I114" s="192">
        <f t="shared" si="140"/>
        <v>86068.181818181823</v>
      </c>
      <c r="J114" s="191">
        <f t="shared" si="141"/>
        <v>53931.818181818191</v>
      </c>
      <c r="K114" s="192">
        <f t="shared" si="142"/>
        <v>21795.454545454555</v>
      </c>
      <c r="L114" s="191">
        <f t="shared" si="143"/>
        <v>166409.09090909091</v>
      </c>
      <c r="M114" s="192">
        <f t="shared" si="144"/>
        <v>134272.72727272726</v>
      </c>
      <c r="N114" s="191">
        <f t="shared" si="145"/>
        <v>102136.36363636363</v>
      </c>
      <c r="O114" s="193">
        <f t="shared" si="146"/>
        <v>70000</v>
      </c>
      <c r="P114" s="173">
        <f>+B114/VLOOKUP(A114,'Ejercicio 1'!$E$40:$I$80,4,FALSE)</f>
        <v>12104.166666666668</v>
      </c>
      <c r="Q114" s="181" t="s">
        <v>268</v>
      </c>
    </row>
    <row r="115" spans="1:17" x14ac:dyDescent="0.25">
      <c r="A115" s="180" t="str">
        <f t="shared" ref="A115:C115" si="167">+A71</f>
        <v>Jack 3,5mm</v>
      </c>
      <c r="B115" s="173">
        <f t="shared" si="134"/>
        <v>24334.583333333328</v>
      </c>
      <c r="C115" s="181" t="str">
        <f t="shared" si="167"/>
        <v>u</v>
      </c>
      <c r="D115" s="191">
        <f t="shared" si="135"/>
        <v>20000</v>
      </c>
      <c r="E115" s="192">
        <f t="shared" si="136"/>
        <v>10542.727272727272</v>
      </c>
      <c r="F115" s="191">
        <f t="shared" si="137"/>
        <v>1085.4545454545441</v>
      </c>
      <c r="G115" s="192">
        <f t="shared" si="138"/>
        <v>43643.181818181816</v>
      </c>
      <c r="H115" s="191">
        <f t="shared" si="139"/>
        <v>34185.909090909088</v>
      </c>
      <c r="I115" s="192">
        <f t="shared" si="140"/>
        <v>24728.63636363636</v>
      </c>
      <c r="J115" s="191">
        <f t="shared" si="141"/>
        <v>15271.363636363632</v>
      </c>
      <c r="K115" s="192">
        <f t="shared" si="142"/>
        <v>5814.0909090909045</v>
      </c>
      <c r="L115" s="191">
        <f t="shared" si="143"/>
        <v>48371.818181818177</v>
      </c>
      <c r="M115" s="192">
        <f t="shared" si="144"/>
        <v>38914.545454545449</v>
      </c>
      <c r="N115" s="191">
        <f t="shared" si="145"/>
        <v>29457.272727272721</v>
      </c>
      <c r="O115" s="193">
        <f t="shared" si="146"/>
        <v>19999.999999999993</v>
      </c>
      <c r="P115" s="173">
        <f>+B115/VLOOKUP(A115,'Ejercicio 1'!$E$40:$I$80,4,FALSE)</f>
        <v>12167.291666666664</v>
      </c>
      <c r="Q115" s="181" t="s">
        <v>268</v>
      </c>
    </row>
    <row r="116" spans="1:17" x14ac:dyDescent="0.25">
      <c r="A116" s="180" t="str">
        <f t="shared" ref="A116:C116" si="168">+A72</f>
        <v>Jumpers</v>
      </c>
      <c r="B116" s="173">
        <f t="shared" si="134"/>
        <v>268637.81249999983</v>
      </c>
      <c r="C116" s="181" t="str">
        <f t="shared" si="168"/>
        <v>u</v>
      </c>
      <c r="D116" s="191">
        <f t="shared" si="135"/>
        <v>220000</v>
      </c>
      <c r="E116" s="192">
        <f t="shared" si="136"/>
        <v>113881.13636363637</v>
      </c>
      <c r="F116" s="191">
        <f t="shared" si="137"/>
        <v>7762.2727272727352</v>
      </c>
      <c r="G116" s="192">
        <f t="shared" si="138"/>
        <v>485297.15909090894</v>
      </c>
      <c r="H116" s="191">
        <f t="shared" si="139"/>
        <v>379178.2954545453</v>
      </c>
      <c r="I116" s="192">
        <f t="shared" si="140"/>
        <v>273059.43181818165</v>
      </c>
      <c r="J116" s="191">
        <f t="shared" si="141"/>
        <v>166940.568181818</v>
      </c>
      <c r="K116" s="192">
        <f t="shared" si="142"/>
        <v>60821.70454545437</v>
      </c>
      <c r="L116" s="191">
        <f t="shared" si="143"/>
        <v>538356.59090909059</v>
      </c>
      <c r="M116" s="192">
        <f t="shared" si="144"/>
        <v>432237.72727272694</v>
      </c>
      <c r="N116" s="191">
        <f t="shared" si="145"/>
        <v>326118.8636363633</v>
      </c>
      <c r="O116" s="193">
        <f t="shared" si="146"/>
        <v>219999.99999999965</v>
      </c>
      <c r="P116" s="173">
        <f>+B116/VLOOKUP(A116,'Ejercicio 1'!$E$40:$I$80,4,FALSE)</f>
        <v>11679.904891304341</v>
      </c>
      <c r="Q116" s="181" t="s">
        <v>268</v>
      </c>
    </row>
    <row r="117" spans="1:17" x14ac:dyDescent="0.25">
      <c r="A117" s="180" t="str">
        <f t="shared" ref="A117:C117" si="169">+A73</f>
        <v>Manual</v>
      </c>
      <c r="B117" s="173">
        <f t="shared" si="134"/>
        <v>7918.2291666666642</v>
      </c>
      <c r="C117" s="181" t="str">
        <f t="shared" si="169"/>
        <v>u</v>
      </c>
      <c r="D117" s="191">
        <f t="shared" si="135"/>
        <v>2500</v>
      </c>
      <c r="E117" s="192">
        <f t="shared" si="136"/>
        <v>10775.113636363636</v>
      </c>
      <c r="F117" s="191">
        <f t="shared" si="137"/>
        <v>6046.4772727272721</v>
      </c>
      <c r="G117" s="192">
        <f t="shared" si="138"/>
        <v>1317.8409090909081</v>
      </c>
      <c r="H117" s="191">
        <f t="shared" si="139"/>
        <v>9592.9545454545441</v>
      </c>
      <c r="I117" s="192">
        <f t="shared" si="140"/>
        <v>4864.3181818181802</v>
      </c>
      <c r="J117" s="191">
        <f t="shared" si="141"/>
        <v>13139.431818181816</v>
      </c>
      <c r="K117" s="192">
        <f t="shared" si="142"/>
        <v>8410.7954545454522</v>
      </c>
      <c r="L117" s="191">
        <f t="shared" si="143"/>
        <v>3682.1590909090883</v>
      </c>
      <c r="M117" s="192">
        <f t="shared" si="144"/>
        <v>11957.272727272724</v>
      </c>
      <c r="N117" s="191">
        <f t="shared" si="145"/>
        <v>7228.6363636363603</v>
      </c>
      <c r="O117" s="193">
        <f t="shared" si="146"/>
        <v>15503.749999999996</v>
      </c>
      <c r="P117" s="173">
        <f>+B117/VLOOKUP(A117,'Ejercicio 1'!$E$40:$I$80,4,FALSE)</f>
        <v>7918.2291666666642</v>
      </c>
      <c r="Q117" s="181" t="s">
        <v>268</v>
      </c>
    </row>
    <row r="118" spans="1:17" x14ac:dyDescent="0.25">
      <c r="A118" s="180" t="str">
        <f t="shared" ref="A118:C118" si="170">+A74</f>
        <v>Pegamento</v>
      </c>
      <c r="B118" s="173">
        <f t="shared" si="134"/>
        <v>401250.00000000006</v>
      </c>
      <c r="C118" s="181" t="str">
        <f t="shared" si="170"/>
        <v>gr</v>
      </c>
      <c r="D118" s="191">
        <f t="shared" si="135"/>
        <v>795000</v>
      </c>
      <c r="E118" s="192">
        <f t="shared" si="136"/>
        <v>651818.18181818188</v>
      </c>
      <c r="F118" s="191">
        <f t="shared" si="137"/>
        <v>508636.36363636371</v>
      </c>
      <c r="G118" s="192">
        <f t="shared" si="138"/>
        <v>365454.54545454553</v>
      </c>
      <c r="H118" s="191">
        <f t="shared" si="139"/>
        <v>222272.72727272735</v>
      </c>
      <c r="I118" s="192">
        <f t="shared" si="140"/>
        <v>604090.90909090918</v>
      </c>
      <c r="J118" s="191">
        <f t="shared" si="141"/>
        <v>460909.090909091</v>
      </c>
      <c r="K118" s="192">
        <f t="shared" si="142"/>
        <v>317727.27272727282</v>
      </c>
      <c r="L118" s="191">
        <f t="shared" si="143"/>
        <v>174545.45454545465</v>
      </c>
      <c r="M118" s="192">
        <f t="shared" si="144"/>
        <v>31363.636363636469</v>
      </c>
      <c r="N118" s="191">
        <f t="shared" si="145"/>
        <v>413181.81818181829</v>
      </c>
      <c r="O118" s="193">
        <f t="shared" si="146"/>
        <v>270000.00000000012</v>
      </c>
      <c r="P118" s="173">
        <f>+B118/VLOOKUP(A118,'Ejercicio 1'!$E$40:$I$80,4,FALSE)</f>
        <v>13375.000000000002</v>
      </c>
      <c r="Q118" s="181" t="s">
        <v>268</v>
      </c>
    </row>
    <row r="119" spans="1:17" x14ac:dyDescent="0.25">
      <c r="A119" s="180" t="str">
        <f t="shared" ref="A119:C119" si="171">+A75</f>
        <v>Plaqueta de cobre</v>
      </c>
      <c r="B119" s="173">
        <f t="shared" si="134"/>
        <v>15378.887635624991</v>
      </c>
      <c r="C119" s="181" t="str">
        <f t="shared" si="171"/>
        <v>u</v>
      </c>
      <c r="D119" s="191">
        <f t="shared" si="135"/>
        <v>28515.550542499997</v>
      </c>
      <c r="E119" s="192">
        <f t="shared" si="136"/>
        <v>23738.58221272727</v>
      </c>
      <c r="F119" s="191">
        <f t="shared" si="137"/>
        <v>18961.613882954542</v>
      </c>
      <c r="G119" s="192">
        <f t="shared" si="138"/>
        <v>14184.645553181814</v>
      </c>
      <c r="H119" s="191">
        <f t="shared" si="139"/>
        <v>9407.6772234090859</v>
      </c>
      <c r="I119" s="192">
        <f t="shared" si="140"/>
        <v>22146.259436136355</v>
      </c>
      <c r="J119" s="191">
        <f t="shared" si="141"/>
        <v>17369.291106363627</v>
      </c>
      <c r="K119" s="192">
        <f t="shared" si="142"/>
        <v>12592.3227765909</v>
      </c>
      <c r="L119" s="191">
        <f t="shared" si="143"/>
        <v>7815.3544468181717</v>
      </c>
      <c r="M119" s="192">
        <f t="shared" si="144"/>
        <v>3038.3861170454438</v>
      </c>
      <c r="N119" s="191">
        <f t="shared" si="145"/>
        <v>15776.968329772713</v>
      </c>
      <c r="O119" s="193">
        <f t="shared" si="146"/>
        <v>10999.999999999985</v>
      </c>
      <c r="P119" s="173">
        <f>+B119/VLOOKUP(A119,'Ejercicio 1'!$E$40:$I$80,4,FALSE)</f>
        <v>15378.887635624991</v>
      </c>
      <c r="Q119" s="181" t="s">
        <v>268</v>
      </c>
    </row>
    <row r="120" spans="1:17" x14ac:dyDescent="0.25">
      <c r="A120" s="180" t="str">
        <f t="shared" ref="A120:C120" si="172">+A76</f>
        <v>Plaqueta impresa</v>
      </c>
      <c r="B120" s="173">
        <f t="shared" si="134"/>
        <v>15335.424999999997</v>
      </c>
      <c r="C120" s="181" t="str">
        <f t="shared" si="172"/>
        <v>u</v>
      </c>
      <c r="D120" s="191">
        <f t="shared" si="135"/>
        <v>28341.7</v>
      </c>
      <c r="E120" s="192">
        <f t="shared" si="136"/>
        <v>23612.145454545454</v>
      </c>
      <c r="F120" s="191">
        <f t="shared" si="137"/>
        <v>18882.590909090908</v>
      </c>
      <c r="G120" s="192">
        <f t="shared" si="138"/>
        <v>14153.036363636362</v>
      </c>
      <c r="H120" s="191">
        <f t="shared" si="139"/>
        <v>9423.4818181818155</v>
      </c>
      <c r="I120" s="192">
        <f t="shared" si="140"/>
        <v>22035.62727272727</v>
      </c>
      <c r="J120" s="191">
        <f t="shared" si="141"/>
        <v>17306.072727272724</v>
      </c>
      <c r="K120" s="192">
        <f t="shared" si="142"/>
        <v>12576.518181818177</v>
      </c>
      <c r="L120" s="191">
        <f t="shared" si="143"/>
        <v>7846.9636363636318</v>
      </c>
      <c r="M120" s="192">
        <f t="shared" si="144"/>
        <v>3117.4090909090864</v>
      </c>
      <c r="N120" s="191">
        <f t="shared" si="145"/>
        <v>15729.554545454539</v>
      </c>
      <c r="O120" s="193">
        <f t="shared" si="146"/>
        <v>10999.999999999993</v>
      </c>
      <c r="P120" s="173">
        <f>+B120/VLOOKUP(A120,'Ejercicio 1'!$E$40:$I$80,4,FALSE)</f>
        <v>15335.424999999997</v>
      </c>
      <c r="Q120" s="181" t="s">
        <v>268</v>
      </c>
    </row>
    <row r="121" spans="1:17" x14ac:dyDescent="0.25">
      <c r="A121" s="180" t="str">
        <f t="shared" ref="A121:C121" si="173">+A77</f>
        <v>Pulsador</v>
      </c>
      <c r="B121" s="173">
        <f t="shared" si="134"/>
        <v>15292.500000000005</v>
      </c>
      <c r="C121" s="181" t="str">
        <f t="shared" si="173"/>
        <v>u</v>
      </c>
      <c r="D121" s="191">
        <f t="shared" si="135"/>
        <v>28170</v>
      </c>
      <c r="E121" s="192">
        <f t="shared" si="136"/>
        <v>23487.272727272728</v>
      </c>
      <c r="F121" s="191">
        <f t="shared" si="137"/>
        <v>18804.545454545456</v>
      </c>
      <c r="G121" s="192">
        <f t="shared" si="138"/>
        <v>14121.818181818184</v>
      </c>
      <c r="H121" s="191">
        <f t="shared" si="139"/>
        <v>9439.0909090909117</v>
      </c>
      <c r="I121" s="192">
        <f t="shared" si="140"/>
        <v>21926.36363636364</v>
      </c>
      <c r="J121" s="191">
        <f t="shared" si="141"/>
        <v>17243.636363636368</v>
      </c>
      <c r="K121" s="192">
        <f t="shared" si="142"/>
        <v>12560.909090909096</v>
      </c>
      <c r="L121" s="191">
        <f t="shared" si="143"/>
        <v>7878.1818181818226</v>
      </c>
      <c r="M121" s="192">
        <f t="shared" si="144"/>
        <v>3195.4545454545496</v>
      </c>
      <c r="N121" s="191">
        <f t="shared" si="145"/>
        <v>15682.727272727279</v>
      </c>
      <c r="O121" s="193">
        <f t="shared" si="146"/>
        <v>11000.000000000007</v>
      </c>
      <c r="P121" s="173">
        <f>+B121/VLOOKUP(A121,'Ejercicio 1'!$E$40:$I$80,4,FALSE)</f>
        <v>15292.500000000005</v>
      </c>
      <c r="Q121" s="181" t="s">
        <v>268</v>
      </c>
    </row>
    <row r="122" spans="1:17" x14ac:dyDescent="0.25">
      <c r="A122" s="180" t="str">
        <f t="shared" ref="A122:C122" si="174">+A78</f>
        <v>Resistencia 10k</v>
      </c>
      <c r="B122" s="173">
        <f t="shared" si="134"/>
        <v>212774.06249999988</v>
      </c>
      <c r="C122" s="181" t="str">
        <f t="shared" si="174"/>
        <v>u</v>
      </c>
      <c r="D122" s="191">
        <f t="shared" si="135"/>
        <v>120000</v>
      </c>
      <c r="E122" s="192">
        <f t="shared" si="136"/>
        <v>55725.681818181816</v>
      </c>
      <c r="F122" s="191">
        <f t="shared" si="137"/>
        <v>348477.61363636353</v>
      </c>
      <c r="G122" s="192">
        <f t="shared" si="138"/>
        <v>284203.29545454535</v>
      </c>
      <c r="H122" s="191">
        <f t="shared" si="139"/>
        <v>219928.97727272718</v>
      </c>
      <c r="I122" s="192">
        <f t="shared" si="140"/>
        <v>155654.659090909</v>
      </c>
      <c r="J122" s="191">
        <f t="shared" si="141"/>
        <v>91380.340909090824</v>
      </c>
      <c r="K122" s="192">
        <f t="shared" si="142"/>
        <v>384132.27272727253</v>
      </c>
      <c r="L122" s="191">
        <f t="shared" si="143"/>
        <v>319857.95454545435</v>
      </c>
      <c r="M122" s="192">
        <f t="shared" si="144"/>
        <v>255583.63636363618</v>
      </c>
      <c r="N122" s="191">
        <f t="shared" si="145"/>
        <v>191309.318181818</v>
      </c>
      <c r="O122" s="193">
        <f t="shared" si="146"/>
        <v>127034.99999999983</v>
      </c>
      <c r="P122" s="173">
        <f>+B122/VLOOKUP(A122,'Ejercicio 1'!$E$40:$I$80,4,FALSE)</f>
        <v>15198.147321428563</v>
      </c>
      <c r="Q122" s="181" t="s">
        <v>268</v>
      </c>
    </row>
    <row r="123" spans="1:17" x14ac:dyDescent="0.25">
      <c r="A123" s="180" t="str">
        <f t="shared" ref="A123:C123" si="175">+A79</f>
        <v>Resistencia 10M</v>
      </c>
      <c r="B123" s="173">
        <f t="shared" si="134"/>
        <v>59506.874999999964</v>
      </c>
      <c r="C123" s="181" t="str">
        <f t="shared" si="175"/>
        <v>u</v>
      </c>
      <c r="D123" s="191">
        <f t="shared" si="135"/>
        <v>33000</v>
      </c>
      <c r="E123" s="192">
        <f t="shared" si="136"/>
        <v>14635.909090909092</v>
      </c>
      <c r="F123" s="191">
        <f t="shared" si="137"/>
        <v>98279.318181818147</v>
      </c>
      <c r="G123" s="192">
        <f t="shared" si="138"/>
        <v>79915.227272727236</v>
      </c>
      <c r="H123" s="191">
        <f t="shared" si="139"/>
        <v>61551.136363636324</v>
      </c>
      <c r="I123" s="192">
        <f t="shared" si="140"/>
        <v>43187.045454545412</v>
      </c>
      <c r="J123" s="191">
        <f t="shared" si="141"/>
        <v>24822.954545454504</v>
      </c>
      <c r="K123" s="192">
        <f t="shared" si="142"/>
        <v>108466.36363636356</v>
      </c>
      <c r="L123" s="191">
        <f t="shared" si="143"/>
        <v>90102.272727272648</v>
      </c>
      <c r="M123" s="192">
        <f t="shared" si="144"/>
        <v>71738.181818181736</v>
      </c>
      <c r="N123" s="191">
        <f t="shared" si="145"/>
        <v>53374.090909090824</v>
      </c>
      <c r="O123" s="193">
        <f t="shared" si="146"/>
        <v>35009.999999999913</v>
      </c>
      <c r="P123" s="173">
        <f>+B123/VLOOKUP(A123,'Ejercicio 1'!$E$40:$I$80,4,FALSE)</f>
        <v>14876.718749999991</v>
      </c>
      <c r="Q123" s="181" t="s">
        <v>268</v>
      </c>
    </row>
    <row r="124" spans="1:17" x14ac:dyDescent="0.25">
      <c r="A124" s="180" t="str">
        <f t="shared" ref="A124:C124" si="176">+A80</f>
        <v>Resistencia de 100R</v>
      </c>
      <c r="B124" s="173">
        <f t="shared" si="134"/>
        <v>33253.437499999978</v>
      </c>
      <c r="C124" s="181" t="str">
        <f t="shared" si="176"/>
        <v>u</v>
      </c>
      <c r="D124" s="191">
        <f t="shared" si="135"/>
        <v>20000</v>
      </c>
      <c r="E124" s="192">
        <f t="shared" si="136"/>
        <v>10817.954545454546</v>
      </c>
      <c r="F124" s="191">
        <f t="shared" si="137"/>
        <v>52639.659090909074</v>
      </c>
      <c r="G124" s="192">
        <f t="shared" si="138"/>
        <v>43457.613636363618</v>
      </c>
      <c r="H124" s="191">
        <f t="shared" si="139"/>
        <v>34275.568181818162</v>
      </c>
      <c r="I124" s="192">
        <f t="shared" si="140"/>
        <v>25093.522727272706</v>
      </c>
      <c r="J124" s="191">
        <f t="shared" si="141"/>
        <v>15911.477272727252</v>
      </c>
      <c r="K124" s="192">
        <f t="shared" si="142"/>
        <v>57733.18181818178</v>
      </c>
      <c r="L124" s="191">
        <f t="shared" si="143"/>
        <v>48551.136363636324</v>
      </c>
      <c r="M124" s="192">
        <f t="shared" si="144"/>
        <v>39369.090909090868</v>
      </c>
      <c r="N124" s="191">
        <f t="shared" si="145"/>
        <v>30187.045454545412</v>
      </c>
      <c r="O124" s="193">
        <f t="shared" si="146"/>
        <v>21004.999999999956</v>
      </c>
      <c r="P124" s="173">
        <f>+B124/VLOOKUP(A124,'Ejercicio 1'!$E$40:$I$80,4,FALSE)</f>
        <v>16626.718749999989</v>
      </c>
      <c r="Q124" s="181" t="s">
        <v>268</v>
      </c>
    </row>
    <row r="125" spans="1:17" x14ac:dyDescent="0.25">
      <c r="A125" s="180" t="str">
        <f t="shared" ref="A125:C125" si="177">+A81</f>
        <v>Resistencia de 15k</v>
      </c>
      <c r="B125" s="173">
        <f t="shared" si="134"/>
        <v>15501.562499999991</v>
      </c>
      <c r="C125" s="181" t="str">
        <f t="shared" si="177"/>
        <v>u</v>
      </c>
      <c r="D125" s="191">
        <f t="shared" si="135"/>
        <v>28001.249999999996</v>
      </c>
      <c r="E125" s="192">
        <f t="shared" si="136"/>
        <v>23410.227272727268</v>
      </c>
      <c r="F125" s="191">
        <f t="shared" si="137"/>
        <v>18819.20454545454</v>
      </c>
      <c r="G125" s="192">
        <f t="shared" si="138"/>
        <v>14228.181818181813</v>
      </c>
      <c r="H125" s="191">
        <f t="shared" si="139"/>
        <v>9637.1590909090846</v>
      </c>
      <c r="I125" s="192">
        <f t="shared" si="140"/>
        <v>22047.386363636353</v>
      </c>
      <c r="J125" s="191">
        <f t="shared" si="141"/>
        <v>17456.363636363625</v>
      </c>
      <c r="K125" s="192">
        <f t="shared" si="142"/>
        <v>12865.340909090897</v>
      </c>
      <c r="L125" s="191">
        <f t="shared" si="143"/>
        <v>8274.3181818181693</v>
      </c>
      <c r="M125" s="192">
        <f t="shared" si="144"/>
        <v>3683.2954545454422</v>
      </c>
      <c r="N125" s="191">
        <f t="shared" si="145"/>
        <v>16093.52272727271</v>
      </c>
      <c r="O125" s="193">
        <f t="shared" si="146"/>
        <v>11502.499999999982</v>
      </c>
      <c r="P125" s="173">
        <f>+B125/VLOOKUP(A125,'Ejercicio 1'!$E$40:$I$80,4,FALSE)</f>
        <v>15501.562499999991</v>
      </c>
      <c r="Q125" s="181" t="s">
        <v>268</v>
      </c>
    </row>
    <row r="126" spans="1:17" x14ac:dyDescent="0.25">
      <c r="A126" s="180" t="str">
        <f t="shared" ref="A126:C126" si="178">+A82</f>
        <v>Resistencia de 180R</v>
      </c>
      <c r="B126" s="173">
        <f t="shared" si="134"/>
        <v>15501.562499999991</v>
      </c>
      <c r="C126" s="181" t="str">
        <f t="shared" si="178"/>
        <v>u</v>
      </c>
      <c r="D126" s="191">
        <f t="shared" si="135"/>
        <v>28001.249999999996</v>
      </c>
      <c r="E126" s="192">
        <f t="shared" si="136"/>
        <v>23410.227272727268</v>
      </c>
      <c r="F126" s="191">
        <f t="shared" si="137"/>
        <v>18819.20454545454</v>
      </c>
      <c r="G126" s="192">
        <f t="shared" si="138"/>
        <v>14228.181818181813</v>
      </c>
      <c r="H126" s="191">
        <f t="shared" si="139"/>
        <v>9637.1590909090846</v>
      </c>
      <c r="I126" s="192">
        <f t="shared" si="140"/>
        <v>22047.386363636353</v>
      </c>
      <c r="J126" s="191">
        <f t="shared" si="141"/>
        <v>17456.363636363625</v>
      </c>
      <c r="K126" s="192">
        <f t="shared" si="142"/>
        <v>12865.340909090897</v>
      </c>
      <c r="L126" s="191">
        <f t="shared" si="143"/>
        <v>8274.3181818181693</v>
      </c>
      <c r="M126" s="192">
        <f t="shared" si="144"/>
        <v>3683.2954545454422</v>
      </c>
      <c r="N126" s="191">
        <f t="shared" si="145"/>
        <v>16093.52272727271</v>
      </c>
      <c r="O126" s="193">
        <f t="shared" si="146"/>
        <v>11502.499999999982</v>
      </c>
      <c r="P126" s="173">
        <f>+B126/VLOOKUP(A126,'Ejercicio 1'!$E$40:$I$80,4,FALSE)</f>
        <v>15501.562499999991</v>
      </c>
      <c r="Q126" s="181" t="s">
        <v>268</v>
      </c>
    </row>
    <row r="127" spans="1:17" x14ac:dyDescent="0.25">
      <c r="A127" s="180" t="str">
        <f t="shared" ref="A127:C127" si="179">+A83</f>
        <v>Resistencia de 240 ohms</v>
      </c>
      <c r="B127" s="173">
        <f t="shared" si="134"/>
        <v>15501.562499999991</v>
      </c>
      <c r="C127" s="181" t="str">
        <f t="shared" si="179"/>
        <v>u</v>
      </c>
      <c r="D127" s="191">
        <f t="shared" si="135"/>
        <v>28001.249999999996</v>
      </c>
      <c r="E127" s="192">
        <f t="shared" si="136"/>
        <v>23410.227272727268</v>
      </c>
      <c r="F127" s="191">
        <f t="shared" si="137"/>
        <v>18819.20454545454</v>
      </c>
      <c r="G127" s="192">
        <f t="shared" si="138"/>
        <v>14228.181818181813</v>
      </c>
      <c r="H127" s="191">
        <f t="shared" si="139"/>
        <v>9637.1590909090846</v>
      </c>
      <c r="I127" s="192">
        <f t="shared" si="140"/>
        <v>22047.386363636353</v>
      </c>
      <c r="J127" s="191">
        <f t="shared" si="141"/>
        <v>17456.363636363625</v>
      </c>
      <c r="K127" s="192">
        <f t="shared" si="142"/>
        <v>12865.340909090897</v>
      </c>
      <c r="L127" s="191">
        <f t="shared" si="143"/>
        <v>8274.3181818181693</v>
      </c>
      <c r="M127" s="192">
        <f t="shared" si="144"/>
        <v>3683.2954545454422</v>
      </c>
      <c r="N127" s="191">
        <f t="shared" si="145"/>
        <v>16093.52272727271</v>
      </c>
      <c r="O127" s="193">
        <f t="shared" si="146"/>
        <v>11502.499999999982</v>
      </c>
      <c r="P127" s="173">
        <f>+B127/VLOOKUP(A127,'Ejercicio 1'!$E$40:$I$80,4,FALSE)</f>
        <v>15501.562499999991</v>
      </c>
      <c r="Q127" s="181" t="s">
        <v>268</v>
      </c>
    </row>
    <row r="128" spans="1:17" x14ac:dyDescent="0.25">
      <c r="A128" s="180" t="str">
        <f t="shared" ref="A128:C128" si="180">+A84</f>
        <v>Resistencia de 330 ohm</v>
      </c>
      <c r="B128" s="173">
        <f t="shared" si="134"/>
        <v>57880.156249999971</v>
      </c>
      <c r="C128" s="181" t="str">
        <f t="shared" si="180"/>
        <v>u</v>
      </c>
      <c r="D128" s="191">
        <f t="shared" si="135"/>
        <v>38000</v>
      </c>
      <c r="E128" s="192">
        <f t="shared" si="136"/>
        <v>24226.931818181816</v>
      </c>
      <c r="F128" s="191">
        <f t="shared" si="137"/>
        <v>86959.488636363618</v>
      </c>
      <c r="G128" s="192">
        <f t="shared" si="138"/>
        <v>73186.420454545441</v>
      </c>
      <c r="H128" s="191">
        <f t="shared" si="139"/>
        <v>59413.352272727258</v>
      </c>
      <c r="I128" s="192">
        <f t="shared" si="140"/>
        <v>45640.284090909074</v>
      </c>
      <c r="J128" s="191">
        <f t="shared" si="141"/>
        <v>31867.21590909089</v>
      </c>
      <c r="K128" s="192">
        <f t="shared" si="142"/>
        <v>94599.772727272677</v>
      </c>
      <c r="L128" s="191">
        <f t="shared" si="143"/>
        <v>80826.7045454545</v>
      </c>
      <c r="M128" s="192">
        <f t="shared" si="144"/>
        <v>67053.636363636324</v>
      </c>
      <c r="N128" s="191">
        <f t="shared" si="145"/>
        <v>53280.56818181814</v>
      </c>
      <c r="O128" s="193">
        <f t="shared" si="146"/>
        <v>39507.499999999956</v>
      </c>
      <c r="P128" s="173">
        <f>+B128/VLOOKUP(A128,'Ejercicio 1'!$E$40:$I$80,4,FALSE)</f>
        <v>19293.385416666657</v>
      </c>
      <c r="Q128" s="181" t="s">
        <v>268</v>
      </c>
    </row>
    <row r="129" spans="1:17" x14ac:dyDescent="0.25">
      <c r="A129" s="180" t="str">
        <f t="shared" ref="A129:C129" si="181">+A85</f>
        <v>Resistencia de 47k</v>
      </c>
      <c r="B129" s="173">
        <f t="shared" si="134"/>
        <v>33253.437499999978</v>
      </c>
      <c r="C129" s="181" t="str">
        <f t="shared" si="181"/>
        <v>u</v>
      </c>
      <c r="D129" s="191">
        <f t="shared" si="135"/>
        <v>20000</v>
      </c>
      <c r="E129" s="192">
        <f t="shared" si="136"/>
        <v>10817.954545454546</v>
      </c>
      <c r="F129" s="191">
        <f t="shared" si="137"/>
        <v>52639.659090909074</v>
      </c>
      <c r="G129" s="192">
        <f t="shared" si="138"/>
        <v>43457.613636363618</v>
      </c>
      <c r="H129" s="191">
        <f t="shared" si="139"/>
        <v>34275.568181818162</v>
      </c>
      <c r="I129" s="192">
        <f t="shared" si="140"/>
        <v>25093.522727272706</v>
      </c>
      <c r="J129" s="191">
        <f t="shared" si="141"/>
        <v>15911.477272727252</v>
      </c>
      <c r="K129" s="192">
        <f t="shared" si="142"/>
        <v>57733.18181818178</v>
      </c>
      <c r="L129" s="191">
        <f t="shared" si="143"/>
        <v>48551.136363636324</v>
      </c>
      <c r="M129" s="192">
        <f t="shared" si="144"/>
        <v>39369.090909090868</v>
      </c>
      <c r="N129" s="191">
        <f t="shared" si="145"/>
        <v>30187.045454545412</v>
      </c>
      <c r="O129" s="193">
        <f t="shared" si="146"/>
        <v>21004.999999999956</v>
      </c>
      <c r="P129" s="173">
        <f>+B129/VLOOKUP(A129,'Ejercicio 1'!$E$40:$I$80,4,FALSE)</f>
        <v>16626.718749999989</v>
      </c>
      <c r="Q129" s="181" t="s">
        <v>268</v>
      </c>
    </row>
    <row r="130" spans="1:17" x14ac:dyDescent="0.25">
      <c r="A130" s="180" t="str">
        <f t="shared" ref="A130:C130" si="182">+A86</f>
        <v>Resistencia de 4k7</v>
      </c>
      <c r="B130" s="173">
        <f t="shared" si="134"/>
        <v>33253.437499999978</v>
      </c>
      <c r="C130" s="181" t="str">
        <f t="shared" si="182"/>
        <v>u</v>
      </c>
      <c r="D130" s="191">
        <f t="shared" si="135"/>
        <v>20000</v>
      </c>
      <c r="E130" s="192">
        <f t="shared" si="136"/>
        <v>10817.954545454546</v>
      </c>
      <c r="F130" s="191">
        <f t="shared" si="137"/>
        <v>52639.659090909074</v>
      </c>
      <c r="G130" s="192">
        <f t="shared" si="138"/>
        <v>43457.613636363618</v>
      </c>
      <c r="H130" s="191">
        <f t="shared" si="139"/>
        <v>34275.568181818162</v>
      </c>
      <c r="I130" s="192">
        <f t="shared" si="140"/>
        <v>25093.522727272706</v>
      </c>
      <c r="J130" s="191">
        <f t="shared" si="141"/>
        <v>15911.477272727252</v>
      </c>
      <c r="K130" s="192">
        <f t="shared" si="142"/>
        <v>57733.18181818178</v>
      </c>
      <c r="L130" s="191">
        <f t="shared" si="143"/>
        <v>48551.136363636324</v>
      </c>
      <c r="M130" s="192">
        <f t="shared" si="144"/>
        <v>39369.090909090868</v>
      </c>
      <c r="N130" s="191">
        <f t="shared" si="145"/>
        <v>30187.045454545412</v>
      </c>
      <c r="O130" s="193">
        <f t="shared" si="146"/>
        <v>21004.999999999956</v>
      </c>
      <c r="P130" s="173">
        <f>+B130/VLOOKUP(A130,'Ejercicio 1'!$E$40:$I$80,4,FALSE)</f>
        <v>16626.718749999989</v>
      </c>
      <c r="Q130" s="181" t="s">
        <v>268</v>
      </c>
    </row>
    <row r="131" spans="1:17" x14ac:dyDescent="0.25">
      <c r="A131" s="180" t="str">
        <f t="shared" ref="A131:C131" si="183">+A87</f>
        <v>Tornillos</v>
      </c>
      <c r="B131" s="173">
        <f t="shared" si="134"/>
        <v>132293.75</v>
      </c>
      <c r="C131" s="181" t="str">
        <f t="shared" si="183"/>
        <v>u</v>
      </c>
      <c r="D131" s="191">
        <f t="shared" si="135"/>
        <v>259174.99999999997</v>
      </c>
      <c r="E131" s="192">
        <f t="shared" si="136"/>
        <v>213036.36363636362</v>
      </c>
      <c r="F131" s="191">
        <f t="shared" si="137"/>
        <v>166897.72727272726</v>
      </c>
      <c r="G131" s="192">
        <f t="shared" si="138"/>
        <v>120759.09090909091</v>
      </c>
      <c r="H131" s="191">
        <f t="shared" si="139"/>
        <v>74620.454545454559</v>
      </c>
      <c r="I131" s="192">
        <f t="shared" si="140"/>
        <v>197656.81818181818</v>
      </c>
      <c r="J131" s="191">
        <f t="shared" si="141"/>
        <v>151518.18181818182</v>
      </c>
      <c r="K131" s="192">
        <f t="shared" si="142"/>
        <v>105379.54545454547</v>
      </c>
      <c r="L131" s="191">
        <f t="shared" si="143"/>
        <v>59240.90909090911</v>
      </c>
      <c r="M131" s="192">
        <f t="shared" si="144"/>
        <v>13102.27272727275</v>
      </c>
      <c r="N131" s="191">
        <f t="shared" si="145"/>
        <v>136138.63636363635</v>
      </c>
      <c r="O131" s="193">
        <f t="shared" si="146"/>
        <v>90000</v>
      </c>
      <c r="P131" s="173">
        <f>+B131/VLOOKUP(A131,'Ejercicio 1'!$E$40:$I$80,4,FALSE)</f>
        <v>13229.375</v>
      </c>
      <c r="Q131" s="181" t="s">
        <v>268</v>
      </c>
    </row>
    <row r="132" spans="1:17" ht="15.75" thickBot="1" x14ac:dyDescent="0.3">
      <c r="A132" s="182" t="str">
        <f t="shared" ref="A132:C132" si="184">+A88</f>
        <v>Transistor mosfet N</v>
      </c>
      <c r="B132" s="183">
        <f t="shared" si="134"/>
        <v>42880.156249999964</v>
      </c>
      <c r="C132" s="184" t="str">
        <f t="shared" si="184"/>
        <v>u</v>
      </c>
      <c r="D132" s="194">
        <f t="shared" si="135"/>
        <v>23000</v>
      </c>
      <c r="E132" s="195">
        <f t="shared" si="136"/>
        <v>9226.931818181818</v>
      </c>
      <c r="F132" s="194">
        <f t="shared" si="137"/>
        <v>71959.488636363618</v>
      </c>
      <c r="G132" s="195">
        <f t="shared" si="138"/>
        <v>58186.420454545434</v>
      </c>
      <c r="H132" s="194">
        <f t="shared" si="139"/>
        <v>44413.35227272725</v>
      </c>
      <c r="I132" s="195">
        <f t="shared" si="140"/>
        <v>30640.284090909066</v>
      </c>
      <c r="J132" s="194">
        <f t="shared" si="141"/>
        <v>16867.215909090883</v>
      </c>
      <c r="K132" s="195">
        <f t="shared" si="142"/>
        <v>79599.772727272677</v>
      </c>
      <c r="L132" s="194">
        <f t="shared" si="143"/>
        <v>65826.7045454545</v>
      </c>
      <c r="M132" s="195">
        <f t="shared" si="144"/>
        <v>52053.636363636317</v>
      </c>
      <c r="N132" s="194">
        <f t="shared" si="145"/>
        <v>38280.568181818133</v>
      </c>
      <c r="O132" s="196">
        <f t="shared" si="146"/>
        <v>24507.499999999949</v>
      </c>
      <c r="P132" s="183">
        <f>+B132/VLOOKUP(A132,'Ejercicio 1'!$E$40:$I$80,4,FALSE)</f>
        <v>14293.385416666655</v>
      </c>
      <c r="Q132" s="184" t="s">
        <v>268</v>
      </c>
    </row>
    <row r="134" spans="1:17" x14ac:dyDescent="0.25">
      <c r="A134" t="s">
        <v>279</v>
      </c>
      <c r="B134" s="156"/>
      <c r="O134" s="125" t="s">
        <v>279</v>
      </c>
      <c r="P134" s="156">
        <f>+MAX(P93:P132)</f>
        <v>19293.385416666657</v>
      </c>
    </row>
    <row r="135" spans="1:17" ht="15.75" thickBot="1" x14ac:dyDescent="0.3"/>
    <row r="136" spans="1:17" ht="15.75" thickBot="1" x14ac:dyDescent="0.3">
      <c r="A136" s="207" t="s">
        <v>5</v>
      </c>
      <c r="B136" s="208"/>
    </row>
    <row r="137" spans="1:17" ht="15.75" thickBot="1" x14ac:dyDescent="0.3">
      <c r="A137" s="211" t="s">
        <v>194</v>
      </c>
      <c r="B137" s="212" t="s">
        <v>259</v>
      </c>
    </row>
    <row r="138" spans="1:17" x14ac:dyDescent="0.25">
      <c r="A138" s="209" t="s">
        <v>247</v>
      </c>
      <c r="B138" s="210" t="str">
        <f>+IF($B$136="","",IFERROR(VLOOKUP($B$136,$A$92:$O$132,MATCH($A138,$A$92:$O$92,0),FALSE),"DATO NO ENCONTRADO"))</f>
        <v/>
      </c>
    </row>
    <row r="139" spans="1:17" x14ac:dyDescent="0.25">
      <c r="A139" s="203" t="s">
        <v>248</v>
      </c>
      <c r="B139" s="204" t="str">
        <f t="shared" ref="B139:B149" si="185">+IF($B$136="","",IFERROR(VLOOKUP($B$136,$A$92:$O$132,MATCH($A139,$A$92:$O$92,0),FALSE),"DATO NO ENCONTRADO"))</f>
        <v/>
      </c>
    </row>
    <row r="140" spans="1:17" x14ac:dyDescent="0.25">
      <c r="A140" s="203" t="s">
        <v>249</v>
      </c>
      <c r="B140" s="204" t="str">
        <f t="shared" si="185"/>
        <v/>
      </c>
    </row>
    <row r="141" spans="1:17" x14ac:dyDescent="0.25">
      <c r="A141" s="203" t="s">
        <v>250</v>
      </c>
      <c r="B141" s="204" t="str">
        <f t="shared" si="185"/>
        <v/>
      </c>
    </row>
    <row r="142" spans="1:17" x14ac:dyDescent="0.25">
      <c r="A142" s="203" t="s">
        <v>251</v>
      </c>
      <c r="B142" s="204" t="str">
        <f t="shared" si="185"/>
        <v/>
      </c>
    </row>
    <row r="143" spans="1:17" x14ac:dyDescent="0.25">
      <c r="A143" s="203" t="s">
        <v>252</v>
      </c>
      <c r="B143" s="204" t="str">
        <f t="shared" si="185"/>
        <v/>
      </c>
    </row>
    <row r="144" spans="1:17" x14ac:dyDescent="0.25">
      <c r="A144" s="203" t="s">
        <v>253</v>
      </c>
      <c r="B144" s="204" t="str">
        <f t="shared" si="185"/>
        <v/>
      </c>
    </row>
    <row r="145" spans="1:2" x14ac:dyDescent="0.25">
      <c r="A145" s="203" t="s">
        <v>254</v>
      </c>
      <c r="B145" s="204" t="str">
        <f t="shared" si="185"/>
        <v/>
      </c>
    </row>
    <row r="146" spans="1:2" x14ac:dyDescent="0.25">
      <c r="A146" s="203" t="s">
        <v>255</v>
      </c>
      <c r="B146" s="204" t="str">
        <f t="shared" si="185"/>
        <v/>
      </c>
    </row>
    <row r="147" spans="1:2" x14ac:dyDescent="0.25">
      <c r="A147" s="203" t="s">
        <v>256</v>
      </c>
      <c r="B147" s="204" t="str">
        <f t="shared" si="185"/>
        <v/>
      </c>
    </row>
    <row r="148" spans="1:2" x14ac:dyDescent="0.25">
      <c r="A148" s="203" t="s">
        <v>257</v>
      </c>
      <c r="B148" s="204" t="str">
        <f t="shared" si="185"/>
        <v/>
      </c>
    </row>
    <row r="149" spans="1:2" ht="15.75" thickBot="1" x14ac:dyDescent="0.3">
      <c r="A149" s="205" t="s">
        <v>258</v>
      </c>
      <c r="B149" s="206" t="str">
        <f t="shared" si="185"/>
        <v/>
      </c>
    </row>
  </sheetData>
  <mergeCells count="13">
    <mergeCell ref="A47:C47"/>
    <mergeCell ref="F2:G2"/>
    <mergeCell ref="AB2:AC2"/>
    <mergeCell ref="Z2:AA2"/>
    <mergeCell ref="X2:Y2"/>
    <mergeCell ref="V2:W2"/>
    <mergeCell ref="T2:U2"/>
    <mergeCell ref="R2:S2"/>
    <mergeCell ref="P2:Q2"/>
    <mergeCell ref="N2:O2"/>
    <mergeCell ref="L2:M2"/>
    <mergeCell ref="J2:K2"/>
    <mergeCell ref="H2:I2"/>
  </mergeCells>
  <dataValidations count="1">
    <dataValidation type="list" allowBlank="1" showInputMessage="1" showErrorMessage="1" sqref="B136" xr:uid="{EF78D53A-1F49-4324-9F92-EA282055413E}">
      <formula1>$A$4:$A$43</formula1>
    </dataValidation>
  </dataValidations>
  <pageMargins left="0.7" right="0.7" top="0.75" bottom="0.75" header="0.3" footer="0.3"/>
  <pageSetup orientation="portrait" r:id="rId1"/>
  <ignoredErrors>
    <ignoredError sqref="I4:J8 G43:H43 K9:AC43 I14:I43 O4:AC8 G7:H7 G8:H8 G9:H9 G10:H10 G11:H11 G12:H12 G13:H13 G14:H14 G15:H15 G16:H16 G17:H17 G18:H18 G19:H19 G20:H20 G21:H21 G22:H22 G23:H23 G24:H24 G25:H25 G26:H26 G27:H27 G28:H28 G29:H29 G30:H30 G31:H31 G32:H32 G33:H33 G34:H34 G35:H35 G36:H36 G37:H37 G38:H38 G39:H39 G40:H40 G41:H41 G42:H42 B93:B13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FE38-F3CE-493F-8718-FC3EE6D8F6E2}">
  <dimension ref="B2:F12"/>
  <sheetViews>
    <sheetView workbookViewId="0">
      <selection activeCell="F4" sqref="F4"/>
    </sheetView>
  </sheetViews>
  <sheetFormatPr baseColWidth="10" defaultRowHeight="15" x14ac:dyDescent="0.25"/>
  <cols>
    <col min="2" max="2" width="27.5703125" bestFit="1" customWidth="1"/>
    <col min="3" max="3" width="16" customWidth="1"/>
    <col min="4" max="4" width="15.140625" bestFit="1" customWidth="1"/>
    <col min="5" max="5" width="9.5703125" bestFit="1" customWidth="1"/>
    <col min="6" max="6" width="9.140625" bestFit="1" customWidth="1"/>
  </cols>
  <sheetData>
    <row r="2" spans="2:6" ht="15.75" thickBot="1" x14ac:dyDescent="0.3"/>
    <row r="3" spans="2:6" ht="15.75" thickBot="1" x14ac:dyDescent="0.3">
      <c r="C3" s="222" t="s">
        <v>277</v>
      </c>
      <c r="D3" s="221" t="s">
        <v>275</v>
      </c>
      <c r="E3" s="185" t="s">
        <v>276</v>
      </c>
      <c r="F3" s="187" t="s">
        <v>317</v>
      </c>
    </row>
    <row r="4" spans="2:6" x14ac:dyDescent="0.25">
      <c r="B4" s="223" t="s">
        <v>222</v>
      </c>
      <c r="C4" s="226" t="s">
        <v>268</v>
      </c>
      <c r="D4" s="217"/>
      <c r="E4" s="215">
        <f>+E6-E5</f>
        <v>20369.047619047618</v>
      </c>
      <c r="F4" s="216">
        <f>+'Ejercicio 1'!B42</f>
        <v>50000</v>
      </c>
    </row>
    <row r="5" spans="2:6" x14ac:dyDescent="0.25">
      <c r="B5" s="224" t="s">
        <v>271</v>
      </c>
      <c r="C5" s="227" t="s">
        <v>268</v>
      </c>
      <c r="D5" s="218"/>
      <c r="E5" s="214">
        <f>+'Ejercicio 7'!B31</f>
        <v>1250</v>
      </c>
      <c r="F5" s="200">
        <f>+'Ejercicio 7'!B32</f>
        <v>1250</v>
      </c>
    </row>
    <row r="6" spans="2:6" x14ac:dyDescent="0.25">
      <c r="B6" s="224" t="s">
        <v>269</v>
      </c>
      <c r="C6" s="227" t="s">
        <v>268</v>
      </c>
      <c r="D6" s="218"/>
      <c r="E6" s="214">
        <f>+'Ejercicio 6'!D39</f>
        <v>21619.047619047618</v>
      </c>
      <c r="F6" s="200">
        <f>+F4</f>
        <v>50000</v>
      </c>
    </row>
    <row r="7" spans="2:6" x14ac:dyDescent="0.25">
      <c r="B7" s="224" t="s">
        <v>270</v>
      </c>
      <c r="C7" s="227" t="s">
        <v>278</v>
      </c>
      <c r="D7" s="218"/>
      <c r="E7" s="214">
        <f>+'Ejercicio 9'!B56+'Ejercicio 9'!C56-'Ejercicio 11'!E6</f>
        <v>1605.6032165761862</v>
      </c>
      <c r="F7" s="200">
        <f>+'Ejercicio 9'!F56-'Ejercicio 11'!F4</f>
        <v>2546.6516274999958</v>
      </c>
    </row>
    <row r="8" spans="2:6" x14ac:dyDescent="0.25">
      <c r="B8" s="224" t="s">
        <v>272</v>
      </c>
      <c r="C8" s="227" t="s">
        <v>278</v>
      </c>
      <c r="D8" s="218"/>
      <c r="E8" s="214">
        <f>+'Ejercicio 9'!D56</f>
        <v>2056.1733245543473</v>
      </c>
      <c r="F8" s="200">
        <f>+'Ejercicio 9'!D56</f>
        <v>2056.1733245543473</v>
      </c>
    </row>
    <row r="9" spans="2:6" x14ac:dyDescent="0.25">
      <c r="B9" s="224" t="s">
        <v>273</v>
      </c>
      <c r="C9" s="227" t="s">
        <v>278</v>
      </c>
      <c r="D9" s="218"/>
      <c r="E9" s="214">
        <f>+'Ejercicio 9'!E56</f>
        <v>25280.824160178152</v>
      </c>
      <c r="F9" s="200">
        <f>+'Ejercicio 9'!F56</f>
        <v>52546.651627499996</v>
      </c>
    </row>
    <row r="10" spans="2:6" x14ac:dyDescent="0.25">
      <c r="B10" s="224" t="s">
        <v>281</v>
      </c>
      <c r="C10" s="227" t="s">
        <v>278</v>
      </c>
      <c r="D10" s="218">
        <f>'Ejercicio 9'!B56</f>
        <v>5709.100293123809</v>
      </c>
      <c r="E10" s="214">
        <f>+'Ejercicio 10'!$P$134</f>
        <v>19293.385416666657</v>
      </c>
      <c r="F10" s="200">
        <f>+'Ejercicio 10'!$P$134</f>
        <v>19293.385416666657</v>
      </c>
    </row>
    <row r="11" spans="2:6" ht="15.75" thickBot="1" x14ac:dyDescent="0.3">
      <c r="B11" s="225" t="s">
        <v>274</v>
      </c>
      <c r="C11" s="228" t="s">
        <v>278</v>
      </c>
      <c r="D11" s="219">
        <f>'Ejercicio 9'!B56</f>
        <v>5709.100293123809</v>
      </c>
      <c r="E11" s="220">
        <f>+E10+E9-D11</f>
        <v>38865.109283720994</v>
      </c>
      <c r="F11" s="202">
        <f>+F9</f>
        <v>52546.651627499996</v>
      </c>
    </row>
    <row r="12" spans="2:6" x14ac:dyDescent="0.25">
      <c r="C12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E36FC-3434-4D90-B3DF-72461227ED60}">
  <dimension ref="A1:DX20"/>
  <sheetViews>
    <sheetView tabSelected="1" zoomScale="80" zoomScaleNormal="80" workbookViewId="0">
      <selection activeCell="A7" sqref="A7"/>
    </sheetView>
  </sheetViews>
  <sheetFormatPr baseColWidth="10" defaultColWidth="1.7109375" defaultRowHeight="15" outlineLevelRow="1" x14ac:dyDescent="0.25"/>
  <cols>
    <col min="1" max="1" width="9.28515625" bestFit="1" customWidth="1"/>
    <col min="2" max="2" width="55.140625" bestFit="1" customWidth="1"/>
    <col min="3" max="128" width="1.5703125" customWidth="1"/>
  </cols>
  <sheetData>
    <row r="1" spans="1:128" ht="15.75" thickBot="1" x14ac:dyDescent="0.3">
      <c r="A1" s="59"/>
      <c r="B1" s="229" t="s">
        <v>282</v>
      </c>
      <c r="C1" s="302" t="s">
        <v>283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R1" s="303" t="s">
        <v>284</v>
      </c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2" t="s">
        <v>285</v>
      </c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4"/>
    </row>
    <row r="2" spans="1:128" ht="16.5" thickBot="1" x14ac:dyDescent="0.3">
      <c r="A2" s="59"/>
      <c r="B2" s="238" t="s">
        <v>115</v>
      </c>
      <c r="C2" s="299">
        <v>-2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1"/>
      <c r="U2" s="306">
        <v>-1</v>
      </c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6">
        <v>1</v>
      </c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6" t="s">
        <v>318</v>
      </c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8"/>
    </row>
    <row r="3" spans="1:128" hidden="1" outlineLevel="1" x14ac:dyDescent="0.25">
      <c r="A3" s="59"/>
      <c r="B3" s="238" t="s">
        <v>286</v>
      </c>
      <c r="C3" s="296">
        <v>7</v>
      </c>
      <c r="D3" s="297"/>
      <c r="E3" s="297"/>
      <c r="F3" s="296">
        <v>8</v>
      </c>
      <c r="G3" s="297"/>
      <c r="H3" s="298"/>
      <c r="I3" s="296">
        <v>9</v>
      </c>
      <c r="J3" s="297"/>
      <c r="K3" s="298"/>
      <c r="L3" s="296">
        <v>10</v>
      </c>
      <c r="M3" s="297"/>
      <c r="N3" s="298"/>
      <c r="O3" s="297">
        <v>11</v>
      </c>
      <c r="P3" s="297"/>
      <c r="Q3" s="297"/>
      <c r="R3" s="305">
        <v>12</v>
      </c>
      <c r="S3" s="297"/>
      <c r="T3" s="297"/>
      <c r="U3" s="305">
        <v>1</v>
      </c>
      <c r="V3" s="297"/>
      <c r="W3" s="297"/>
      <c r="X3" s="305">
        <v>2</v>
      </c>
      <c r="Y3" s="297"/>
      <c r="Z3" s="297"/>
      <c r="AA3" s="305">
        <v>3</v>
      </c>
      <c r="AB3" s="297"/>
      <c r="AC3" s="297"/>
      <c r="AD3" s="305">
        <v>4</v>
      </c>
      <c r="AE3" s="297"/>
      <c r="AF3" s="297"/>
      <c r="AG3" s="305">
        <v>5</v>
      </c>
      <c r="AH3" s="297"/>
      <c r="AI3" s="297"/>
      <c r="AJ3" s="305">
        <v>6</v>
      </c>
      <c r="AK3" s="297"/>
      <c r="AL3" s="297"/>
      <c r="AM3" s="305">
        <v>7</v>
      </c>
      <c r="AN3" s="297"/>
      <c r="AO3" s="297"/>
      <c r="AP3" s="305">
        <v>8</v>
      </c>
      <c r="AQ3" s="297"/>
      <c r="AR3" s="297"/>
      <c r="AS3" s="305">
        <v>9</v>
      </c>
      <c r="AT3" s="297"/>
      <c r="AU3" s="297"/>
      <c r="AV3" s="305">
        <v>10</v>
      </c>
      <c r="AW3" s="297"/>
      <c r="AX3" s="297"/>
      <c r="AY3" s="305">
        <v>11</v>
      </c>
      <c r="AZ3" s="297"/>
      <c r="BA3" s="297"/>
      <c r="BB3" s="305">
        <v>12</v>
      </c>
      <c r="BC3" s="297"/>
      <c r="BD3" s="297"/>
      <c r="BE3" s="296">
        <v>1</v>
      </c>
      <c r="BF3" s="297"/>
      <c r="BG3" s="297"/>
      <c r="BH3" s="305">
        <v>2</v>
      </c>
      <c r="BI3" s="297"/>
      <c r="BJ3" s="297"/>
      <c r="BK3" s="305">
        <v>3</v>
      </c>
      <c r="BL3" s="297"/>
      <c r="BM3" s="297"/>
      <c r="BN3" s="305">
        <v>4</v>
      </c>
      <c r="BO3" s="297"/>
      <c r="BP3" s="297"/>
      <c r="BQ3" s="305">
        <v>5</v>
      </c>
      <c r="BR3" s="297"/>
      <c r="BS3" s="297"/>
      <c r="BT3" s="305">
        <v>6</v>
      </c>
      <c r="BU3" s="297"/>
      <c r="BV3" s="297"/>
      <c r="BW3" s="305">
        <v>7</v>
      </c>
      <c r="BX3" s="297"/>
      <c r="BY3" s="297"/>
      <c r="BZ3" s="305">
        <v>8</v>
      </c>
      <c r="CA3" s="297"/>
      <c r="CB3" s="297"/>
      <c r="CC3" s="305">
        <v>9</v>
      </c>
      <c r="CD3" s="297"/>
      <c r="CE3" s="297"/>
      <c r="CF3" s="305">
        <v>10</v>
      </c>
      <c r="CG3" s="297"/>
      <c r="CH3" s="297"/>
      <c r="CI3" s="305">
        <v>11</v>
      </c>
      <c r="CJ3" s="297"/>
      <c r="CK3" s="297"/>
      <c r="CL3" s="305">
        <v>12</v>
      </c>
      <c r="CM3" s="297"/>
      <c r="CN3" s="297"/>
      <c r="CO3" s="305">
        <v>1</v>
      </c>
      <c r="CP3" s="297"/>
      <c r="CQ3" s="297"/>
      <c r="CR3" s="305">
        <v>2</v>
      </c>
      <c r="CS3" s="297"/>
      <c r="CT3" s="297"/>
      <c r="CU3" s="305">
        <v>3</v>
      </c>
      <c r="CV3" s="297"/>
      <c r="CW3" s="297"/>
      <c r="CX3" s="305">
        <v>4</v>
      </c>
      <c r="CY3" s="297"/>
      <c r="CZ3" s="297"/>
      <c r="DA3" s="305">
        <v>5</v>
      </c>
      <c r="DB3" s="297"/>
      <c r="DC3" s="297"/>
      <c r="DD3" s="305">
        <v>6</v>
      </c>
      <c r="DE3" s="297"/>
      <c r="DF3" s="297"/>
      <c r="DG3" s="305">
        <v>7</v>
      </c>
      <c r="DH3" s="297"/>
      <c r="DI3" s="297"/>
      <c r="DJ3" s="305">
        <v>8</v>
      </c>
      <c r="DK3" s="297"/>
      <c r="DL3" s="297"/>
      <c r="DM3" s="305">
        <v>9</v>
      </c>
      <c r="DN3" s="297"/>
      <c r="DO3" s="297"/>
      <c r="DP3" s="305">
        <v>10</v>
      </c>
      <c r="DQ3" s="297"/>
      <c r="DR3" s="297"/>
      <c r="DS3" s="305">
        <v>11</v>
      </c>
      <c r="DT3" s="297"/>
      <c r="DU3" s="297"/>
      <c r="DV3" s="305">
        <v>12</v>
      </c>
      <c r="DW3" s="297"/>
      <c r="DX3" s="298"/>
    </row>
    <row r="4" spans="1:128" s="125" customFormat="1" ht="15.75" hidden="1" outlineLevel="1" thickBot="1" x14ac:dyDescent="0.3">
      <c r="A4" s="59"/>
      <c r="B4" s="238" t="s">
        <v>313</v>
      </c>
      <c r="C4" s="240">
        <v>10</v>
      </c>
      <c r="D4" s="241">
        <v>20</v>
      </c>
      <c r="E4" s="244">
        <v>30</v>
      </c>
      <c r="F4" s="240">
        <v>10</v>
      </c>
      <c r="G4" s="241">
        <v>20</v>
      </c>
      <c r="H4" s="243">
        <v>30</v>
      </c>
      <c r="I4" s="240">
        <v>10</v>
      </c>
      <c r="J4" s="241">
        <v>20</v>
      </c>
      <c r="K4" s="243">
        <v>30</v>
      </c>
      <c r="L4" s="240">
        <v>10</v>
      </c>
      <c r="M4" s="241">
        <v>20</v>
      </c>
      <c r="N4" s="243">
        <v>30</v>
      </c>
      <c r="O4" s="245">
        <v>10</v>
      </c>
      <c r="P4" s="241">
        <v>20</v>
      </c>
      <c r="Q4" s="241">
        <v>30</v>
      </c>
      <c r="R4" s="242">
        <v>10</v>
      </c>
      <c r="S4" s="241">
        <v>20</v>
      </c>
      <c r="T4" s="241">
        <v>30</v>
      </c>
      <c r="U4" s="242">
        <v>10</v>
      </c>
      <c r="V4" s="241">
        <v>20</v>
      </c>
      <c r="W4" s="241">
        <v>30</v>
      </c>
      <c r="X4" s="242">
        <v>10</v>
      </c>
      <c r="Y4" s="241">
        <v>20</v>
      </c>
      <c r="Z4" s="241">
        <v>30</v>
      </c>
      <c r="AA4" s="242">
        <v>10</v>
      </c>
      <c r="AB4" s="241">
        <v>20</v>
      </c>
      <c r="AC4" s="241">
        <v>30</v>
      </c>
      <c r="AD4" s="242">
        <v>10</v>
      </c>
      <c r="AE4" s="241">
        <v>20</v>
      </c>
      <c r="AF4" s="241">
        <v>30</v>
      </c>
      <c r="AG4" s="242">
        <v>10</v>
      </c>
      <c r="AH4" s="241">
        <v>20</v>
      </c>
      <c r="AI4" s="241">
        <v>30</v>
      </c>
      <c r="AJ4" s="242">
        <v>10</v>
      </c>
      <c r="AK4" s="241">
        <v>20</v>
      </c>
      <c r="AL4" s="241">
        <v>30</v>
      </c>
      <c r="AM4" s="242">
        <v>10</v>
      </c>
      <c r="AN4" s="241">
        <v>20</v>
      </c>
      <c r="AO4" s="241">
        <v>30</v>
      </c>
      <c r="AP4" s="242">
        <v>10</v>
      </c>
      <c r="AQ4" s="241">
        <v>20</v>
      </c>
      <c r="AR4" s="241">
        <v>30</v>
      </c>
      <c r="AS4" s="242">
        <v>10</v>
      </c>
      <c r="AT4" s="241">
        <v>20</v>
      </c>
      <c r="AU4" s="241">
        <v>30</v>
      </c>
      <c r="AV4" s="242">
        <v>10</v>
      </c>
      <c r="AW4" s="241">
        <v>20</v>
      </c>
      <c r="AX4" s="241">
        <v>30</v>
      </c>
      <c r="AY4" s="242">
        <v>10</v>
      </c>
      <c r="AZ4" s="241">
        <v>20</v>
      </c>
      <c r="BA4" s="241">
        <v>30</v>
      </c>
      <c r="BB4" s="242">
        <v>10</v>
      </c>
      <c r="BC4" s="241">
        <v>20</v>
      </c>
      <c r="BD4" s="241">
        <v>30</v>
      </c>
      <c r="BE4" s="242">
        <v>10</v>
      </c>
      <c r="BF4" s="241">
        <v>20</v>
      </c>
      <c r="BG4" s="241">
        <v>30</v>
      </c>
      <c r="BH4" s="242">
        <v>10</v>
      </c>
      <c r="BI4" s="241">
        <v>20</v>
      </c>
      <c r="BJ4" s="241">
        <v>30</v>
      </c>
      <c r="BK4" s="242">
        <v>10</v>
      </c>
      <c r="BL4" s="241">
        <v>20</v>
      </c>
      <c r="BM4" s="241">
        <v>30</v>
      </c>
      <c r="BN4" s="242">
        <v>10</v>
      </c>
      <c r="BO4" s="241">
        <v>20</v>
      </c>
      <c r="BP4" s="241">
        <v>30</v>
      </c>
      <c r="BQ4" s="242">
        <v>10</v>
      </c>
      <c r="BR4" s="241">
        <v>20</v>
      </c>
      <c r="BS4" s="241">
        <v>30</v>
      </c>
      <c r="BT4" s="242">
        <v>10</v>
      </c>
      <c r="BU4" s="241">
        <v>20</v>
      </c>
      <c r="BV4" s="241">
        <v>30</v>
      </c>
      <c r="BW4" s="242">
        <v>10</v>
      </c>
      <c r="BX4" s="241">
        <v>20</v>
      </c>
      <c r="BY4" s="241">
        <v>30</v>
      </c>
      <c r="BZ4" s="242">
        <v>10</v>
      </c>
      <c r="CA4" s="241">
        <v>20</v>
      </c>
      <c r="CB4" s="241">
        <v>30</v>
      </c>
      <c r="CC4" s="242">
        <v>10</v>
      </c>
      <c r="CD4" s="241">
        <v>20</v>
      </c>
      <c r="CE4" s="241">
        <v>30</v>
      </c>
      <c r="CF4" s="242">
        <v>10</v>
      </c>
      <c r="CG4" s="241">
        <v>20</v>
      </c>
      <c r="CH4" s="241">
        <v>30</v>
      </c>
      <c r="CI4" s="242">
        <v>10</v>
      </c>
      <c r="CJ4" s="241">
        <v>20</v>
      </c>
      <c r="CK4" s="241">
        <v>30</v>
      </c>
      <c r="CL4" s="242">
        <v>10</v>
      </c>
      <c r="CM4" s="241">
        <v>20</v>
      </c>
      <c r="CN4" s="241">
        <v>30</v>
      </c>
      <c r="CO4" s="242">
        <v>10</v>
      </c>
      <c r="CP4" s="241">
        <v>20</v>
      </c>
      <c r="CQ4" s="241">
        <v>30</v>
      </c>
      <c r="CR4" s="242">
        <v>10</v>
      </c>
      <c r="CS4" s="241">
        <v>20</v>
      </c>
      <c r="CT4" s="241">
        <v>30</v>
      </c>
      <c r="CU4" s="242">
        <v>10</v>
      </c>
      <c r="CV4" s="241">
        <v>20</v>
      </c>
      <c r="CW4" s="241">
        <v>30</v>
      </c>
      <c r="CX4" s="242">
        <v>10</v>
      </c>
      <c r="CY4" s="241">
        <v>20</v>
      </c>
      <c r="CZ4" s="241">
        <v>30</v>
      </c>
      <c r="DA4" s="242">
        <v>10</v>
      </c>
      <c r="DB4" s="241">
        <v>20</v>
      </c>
      <c r="DC4" s="241">
        <v>30</v>
      </c>
      <c r="DD4" s="242">
        <v>10</v>
      </c>
      <c r="DE4" s="241">
        <v>20</v>
      </c>
      <c r="DF4" s="241">
        <v>30</v>
      </c>
      <c r="DG4" s="242">
        <v>10</v>
      </c>
      <c r="DH4" s="241">
        <v>20</v>
      </c>
      <c r="DI4" s="241">
        <v>30</v>
      </c>
      <c r="DJ4" s="242">
        <v>10</v>
      </c>
      <c r="DK4" s="241">
        <v>20</v>
      </c>
      <c r="DL4" s="241">
        <v>30</v>
      </c>
      <c r="DM4" s="242">
        <v>10</v>
      </c>
      <c r="DN4" s="241">
        <v>20</v>
      </c>
      <c r="DO4" s="241">
        <v>30</v>
      </c>
      <c r="DP4" s="242">
        <v>10</v>
      </c>
      <c r="DQ4" s="241">
        <v>20</v>
      </c>
      <c r="DR4" s="241">
        <v>30</v>
      </c>
      <c r="DS4" s="242">
        <v>10</v>
      </c>
      <c r="DT4" s="241">
        <v>20</v>
      </c>
      <c r="DU4" s="241">
        <v>30</v>
      </c>
      <c r="DV4" s="242">
        <v>10</v>
      </c>
      <c r="DW4" s="241">
        <v>20</v>
      </c>
      <c r="DX4" s="243">
        <v>30</v>
      </c>
    </row>
    <row r="5" spans="1:128" collapsed="1" x14ac:dyDescent="0.25">
      <c r="A5" s="230" t="s">
        <v>287</v>
      </c>
      <c r="B5" s="246" t="s">
        <v>288</v>
      </c>
      <c r="C5" s="247"/>
      <c r="D5" s="239"/>
      <c r="E5" s="239"/>
      <c r="F5" s="239"/>
      <c r="G5" s="239"/>
      <c r="H5" s="239"/>
      <c r="I5" s="233"/>
      <c r="J5" s="233"/>
      <c r="K5" s="233"/>
      <c r="L5" s="233"/>
      <c r="M5" s="233"/>
      <c r="N5" s="233"/>
      <c r="O5" s="111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9"/>
    </row>
    <row r="6" spans="1:128" x14ac:dyDescent="0.25">
      <c r="A6" s="230" t="s">
        <v>289</v>
      </c>
      <c r="B6" s="246" t="s">
        <v>290</v>
      </c>
      <c r="C6" s="250"/>
      <c r="D6" s="233"/>
      <c r="E6" s="233"/>
      <c r="F6" s="233"/>
      <c r="G6" s="233"/>
      <c r="H6" s="233"/>
      <c r="I6" s="231"/>
      <c r="J6" s="231"/>
      <c r="K6" s="231"/>
      <c r="L6" s="231"/>
      <c r="M6" s="231"/>
      <c r="N6" s="231"/>
      <c r="O6" s="231"/>
      <c r="P6" s="231"/>
      <c r="Q6" s="231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48"/>
      <c r="AG6" s="248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9"/>
    </row>
    <row r="7" spans="1:128" x14ac:dyDescent="0.25">
      <c r="A7" s="230" t="s">
        <v>291</v>
      </c>
      <c r="B7" s="246" t="s">
        <v>292</v>
      </c>
      <c r="C7" s="250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6"/>
      <c r="R7" s="233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111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9"/>
    </row>
    <row r="8" spans="1:128" x14ac:dyDescent="0.25">
      <c r="A8" s="230" t="s">
        <v>293</v>
      </c>
      <c r="B8" s="246" t="s">
        <v>294</v>
      </c>
      <c r="C8" s="250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5"/>
      <c r="S8" s="235"/>
      <c r="T8" s="235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111"/>
      <c r="AF8" s="111"/>
      <c r="AG8" s="248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9"/>
    </row>
    <row r="9" spans="1:128" x14ac:dyDescent="0.25">
      <c r="A9" s="230" t="s">
        <v>295</v>
      </c>
      <c r="B9" s="246" t="s">
        <v>296</v>
      </c>
      <c r="C9" s="250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5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48"/>
      <c r="AH9" s="233"/>
      <c r="AI9" s="233"/>
      <c r="AJ9" s="233"/>
      <c r="AK9" s="233"/>
      <c r="AL9" s="233"/>
      <c r="AM9" s="111"/>
      <c r="AN9" s="111"/>
      <c r="AO9" s="111"/>
      <c r="AP9" s="111"/>
      <c r="AQ9" s="111"/>
      <c r="AR9" s="111"/>
      <c r="AS9" s="111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9"/>
    </row>
    <row r="10" spans="1:128" x14ac:dyDescent="0.25">
      <c r="A10" s="230" t="s">
        <v>287</v>
      </c>
      <c r="B10" s="246" t="s">
        <v>297</v>
      </c>
      <c r="C10" s="250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5"/>
      <c r="V10" s="235"/>
      <c r="W10" s="235"/>
      <c r="X10" s="235"/>
      <c r="Y10" s="235"/>
      <c r="Z10" s="235"/>
      <c r="AA10" s="233"/>
      <c r="AB10" s="233"/>
      <c r="AC10" s="233"/>
      <c r="AD10" s="233"/>
      <c r="AE10" s="233"/>
      <c r="AF10" s="233"/>
      <c r="AG10" s="111"/>
      <c r="AH10" s="233"/>
      <c r="AI10" s="233"/>
      <c r="AJ10" s="233"/>
      <c r="AK10" s="233"/>
      <c r="AL10" s="233"/>
      <c r="AM10" s="248"/>
      <c r="AN10" s="248"/>
      <c r="AO10" s="248"/>
      <c r="AP10" s="248"/>
      <c r="AQ10" s="248"/>
      <c r="AR10" s="248"/>
      <c r="AS10" s="111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9"/>
    </row>
    <row r="11" spans="1:128" x14ac:dyDescent="0.25">
      <c r="A11" s="230" t="s">
        <v>298</v>
      </c>
      <c r="B11" s="246" t="s">
        <v>299</v>
      </c>
      <c r="C11" s="250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5"/>
      <c r="AB11" s="235"/>
      <c r="AC11" s="235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111"/>
      <c r="AT11" s="111"/>
      <c r="AU11" s="111"/>
      <c r="AV11" s="111"/>
      <c r="AW11" s="111"/>
      <c r="AX11" s="111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9"/>
    </row>
    <row r="12" spans="1:128" x14ac:dyDescent="0.25">
      <c r="A12" s="230" t="s">
        <v>289</v>
      </c>
      <c r="B12" s="246" t="s">
        <v>300</v>
      </c>
      <c r="C12" s="250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5"/>
      <c r="AB12" s="235"/>
      <c r="AC12" s="235"/>
      <c r="AD12" s="234"/>
      <c r="AE12" s="234"/>
      <c r="AF12" s="234"/>
      <c r="AG12" s="234"/>
      <c r="AH12" s="234"/>
      <c r="AI12" s="234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9"/>
    </row>
    <row r="13" spans="1:128" s="155" customFormat="1" x14ac:dyDescent="0.25">
      <c r="A13" s="230" t="s">
        <v>301</v>
      </c>
      <c r="B13" s="246" t="s">
        <v>302</v>
      </c>
      <c r="C13" s="250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252"/>
    </row>
    <row r="14" spans="1:128" x14ac:dyDescent="0.25">
      <c r="A14" s="230" t="s">
        <v>303</v>
      </c>
      <c r="B14" s="246" t="s">
        <v>304</v>
      </c>
      <c r="C14" s="250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7"/>
      <c r="AZ14" s="237"/>
      <c r="BA14" s="237"/>
      <c r="BB14" s="237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48"/>
      <c r="DX14" s="249"/>
    </row>
    <row r="15" spans="1:128" x14ac:dyDescent="0.25">
      <c r="A15" s="230" t="s">
        <v>289</v>
      </c>
      <c r="B15" s="246" t="s">
        <v>305</v>
      </c>
      <c r="C15" s="250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7"/>
      <c r="AV15" s="237"/>
      <c r="AW15" s="237"/>
      <c r="AX15" s="237"/>
      <c r="AY15" s="237"/>
      <c r="AZ15" s="237"/>
      <c r="BA15" s="237"/>
      <c r="BB15" s="237"/>
      <c r="BC15" s="237"/>
      <c r="BD15" s="248"/>
      <c r="BE15" s="248"/>
      <c r="BF15" s="248"/>
      <c r="BG15" s="248"/>
      <c r="BH15" s="248"/>
      <c r="BI15" s="248"/>
      <c r="BJ15" s="248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48"/>
      <c r="DX15" s="249"/>
    </row>
    <row r="16" spans="1:128" x14ac:dyDescent="0.25">
      <c r="A16" s="230" t="s">
        <v>306</v>
      </c>
      <c r="B16" s="246" t="s">
        <v>307</v>
      </c>
      <c r="C16" s="250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7"/>
      <c r="BE16" s="233"/>
      <c r="BF16" s="233"/>
      <c r="BG16" s="233"/>
      <c r="BH16" s="233"/>
      <c r="BI16" s="233"/>
      <c r="BJ16" s="233"/>
      <c r="BK16" s="233"/>
      <c r="BL16" s="233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48"/>
      <c r="DX16" s="249"/>
    </row>
    <row r="17" spans="1:128" x14ac:dyDescent="0.25">
      <c r="A17" s="230" t="s">
        <v>291</v>
      </c>
      <c r="B17" s="246" t="s">
        <v>308</v>
      </c>
      <c r="C17" s="250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6"/>
      <c r="BE17" s="233"/>
      <c r="BF17" s="233"/>
      <c r="BG17" s="233"/>
      <c r="BH17" s="233"/>
      <c r="BI17" s="233"/>
      <c r="BJ17" s="233"/>
      <c r="BK17" s="233"/>
      <c r="BL17" s="233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48"/>
      <c r="DX17" s="249"/>
    </row>
    <row r="18" spans="1:128" s="125" customFormat="1" x14ac:dyDescent="0.25">
      <c r="A18" s="230" t="s">
        <v>309</v>
      </c>
      <c r="B18" s="246" t="s">
        <v>310</v>
      </c>
      <c r="C18" s="250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5"/>
      <c r="BF18" s="235"/>
      <c r="BG18" s="235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48"/>
      <c r="DX18" s="249"/>
    </row>
    <row r="19" spans="1:128" ht="15.75" thickBot="1" x14ac:dyDescent="0.3">
      <c r="A19" s="230" t="s">
        <v>314</v>
      </c>
      <c r="B19" s="246" t="s">
        <v>315</v>
      </c>
      <c r="C19" s="250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53"/>
    </row>
    <row r="20" spans="1:128" ht="15.75" thickBot="1" x14ac:dyDescent="0.3">
      <c r="A20" s="59"/>
      <c r="B20" s="59"/>
      <c r="C20" s="293" t="s">
        <v>311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 t="s">
        <v>312</v>
      </c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 t="s">
        <v>319</v>
      </c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5"/>
    </row>
  </sheetData>
  <mergeCells count="52">
    <mergeCell ref="BT3:BV3"/>
    <mergeCell ref="BW3:BY3"/>
    <mergeCell ref="BZ3:CB3"/>
    <mergeCell ref="CC3:CE3"/>
    <mergeCell ref="U2:BD2"/>
    <mergeCell ref="BE2:CN2"/>
    <mergeCell ref="BE3:BG3"/>
    <mergeCell ref="BH3:BJ3"/>
    <mergeCell ref="BK3:BM3"/>
    <mergeCell ref="BN3:BP3"/>
    <mergeCell ref="BQ3:BS3"/>
    <mergeCell ref="AD3:AF3"/>
    <mergeCell ref="AG3:AI3"/>
    <mergeCell ref="AJ3:AL3"/>
    <mergeCell ref="AM3:AO3"/>
    <mergeCell ref="AP3:AR3"/>
    <mergeCell ref="AS3:AU3"/>
    <mergeCell ref="U3:W3"/>
    <mergeCell ref="X3:Z3"/>
    <mergeCell ref="AA3:AC3"/>
    <mergeCell ref="C2:T2"/>
    <mergeCell ref="C1:Q1"/>
    <mergeCell ref="R1:BD1"/>
    <mergeCell ref="BE1:DX1"/>
    <mergeCell ref="DS3:DU3"/>
    <mergeCell ref="DV3:DX3"/>
    <mergeCell ref="I3:K3"/>
    <mergeCell ref="L3:N3"/>
    <mergeCell ref="O3:Q3"/>
    <mergeCell ref="R3:T3"/>
    <mergeCell ref="CF3:CH3"/>
    <mergeCell ref="CI3:CK3"/>
    <mergeCell ref="CL3:CN3"/>
    <mergeCell ref="CO2:DX2"/>
    <mergeCell ref="CO3:CQ3"/>
    <mergeCell ref="CR3:CT3"/>
    <mergeCell ref="C20:Q20"/>
    <mergeCell ref="R20:BD20"/>
    <mergeCell ref="BE20:DX20"/>
    <mergeCell ref="C3:E3"/>
    <mergeCell ref="F3:H3"/>
    <mergeCell ref="CU3:CW3"/>
    <mergeCell ref="CX3:CZ3"/>
    <mergeCell ref="DA3:DC3"/>
    <mergeCell ref="DD3:DF3"/>
    <mergeCell ref="AV3:AX3"/>
    <mergeCell ref="AY3:BA3"/>
    <mergeCell ref="BB3:BD3"/>
    <mergeCell ref="DG3:DI3"/>
    <mergeCell ref="DJ3:DL3"/>
    <mergeCell ref="DM3:DO3"/>
    <mergeCell ref="DP3:D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F136E-C4FE-4D26-B6A3-91CA8D0F3738}">
  <dimension ref="A3:G17"/>
  <sheetViews>
    <sheetView workbookViewId="0">
      <selection activeCell="F12" sqref="F12"/>
    </sheetView>
  </sheetViews>
  <sheetFormatPr baseColWidth="10" defaultRowHeight="15" x14ac:dyDescent="0.25"/>
  <sheetData>
    <row r="3" spans="1:7" x14ac:dyDescent="0.25">
      <c r="C3">
        <v>1</v>
      </c>
      <c r="D3" t="s">
        <v>115</v>
      </c>
      <c r="E3" s="76" t="s">
        <v>116</v>
      </c>
      <c r="F3">
        <v>365</v>
      </c>
      <c r="G3" t="s">
        <v>117</v>
      </c>
    </row>
    <row r="4" spans="1:7" x14ac:dyDescent="0.25">
      <c r="C4">
        <v>1</v>
      </c>
      <c r="D4" t="s">
        <v>118</v>
      </c>
      <c r="E4" s="76" t="s">
        <v>116</v>
      </c>
      <c r="F4">
        <v>8</v>
      </c>
      <c r="G4" t="s">
        <v>119</v>
      </c>
    </row>
    <row r="6" spans="1:7" x14ac:dyDescent="0.25">
      <c r="C6" t="s">
        <v>120</v>
      </c>
      <c r="D6" t="s">
        <v>121</v>
      </c>
      <c r="F6">
        <v>20</v>
      </c>
      <c r="G6" t="s">
        <v>106</v>
      </c>
    </row>
    <row r="7" spans="1:7" x14ac:dyDescent="0.25">
      <c r="F7">
        <v>104</v>
      </c>
      <c r="G7" t="s">
        <v>107</v>
      </c>
    </row>
    <row r="8" spans="1:7" x14ac:dyDescent="0.25">
      <c r="F8" s="77">
        <v>11</v>
      </c>
      <c r="G8" s="77" t="s">
        <v>108</v>
      </c>
    </row>
    <row r="9" spans="1:7" x14ac:dyDescent="0.25">
      <c r="F9">
        <f>+F8+F7+F6</f>
        <v>135</v>
      </c>
      <c r="G9" s="78" t="s">
        <v>122</v>
      </c>
    </row>
    <row r="10" spans="1:7" x14ac:dyDescent="0.25">
      <c r="A10" t="s">
        <v>109</v>
      </c>
    </row>
    <row r="12" spans="1:7" x14ac:dyDescent="0.25">
      <c r="A12" t="s">
        <v>110</v>
      </c>
      <c r="C12">
        <f>+F3-F9</f>
        <v>230</v>
      </c>
      <c r="D12" t="s">
        <v>105</v>
      </c>
    </row>
    <row r="13" spans="1:7" x14ac:dyDescent="0.25">
      <c r="A13" t="s">
        <v>111</v>
      </c>
      <c r="C13">
        <f>+C12*8</f>
        <v>1840</v>
      </c>
      <c r="D13" t="s">
        <v>112</v>
      </c>
    </row>
    <row r="15" spans="1:7" x14ac:dyDescent="0.25">
      <c r="A15" t="s">
        <v>113</v>
      </c>
    </row>
    <row r="17" spans="1:4" x14ac:dyDescent="0.25">
      <c r="A17" t="s">
        <v>114</v>
      </c>
      <c r="C17">
        <f>+C12*8</f>
        <v>1840</v>
      </c>
      <c r="D17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20B9-FA34-43EF-B917-C6A30C0522E6}">
  <dimension ref="A1:S48"/>
  <sheetViews>
    <sheetView topLeftCell="A29" workbookViewId="0">
      <selection activeCell="A47" sqref="A47:D48"/>
    </sheetView>
  </sheetViews>
  <sheetFormatPr baseColWidth="10" defaultRowHeight="15" x14ac:dyDescent="0.25"/>
  <sheetData>
    <row r="1" spans="1:19" x14ac:dyDescent="0.25">
      <c r="A1" s="98" t="s">
        <v>175</v>
      </c>
    </row>
    <row r="2" spans="1:19" x14ac:dyDescent="0.25">
      <c r="A2" s="59"/>
      <c r="B2" s="79"/>
      <c r="C2" s="80"/>
      <c r="D2" s="79"/>
      <c r="E2" s="79"/>
      <c r="F2" s="59"/>
      <c r="G2" s="59"/>
      <c r="H2" s="79"/>
      <c r="I2" s="79"/>
    </row>
    <row r="3" spans="1:19" x14ac:dyDescent="0.25">
      <c r="A3" s="263" t="s">
        <v>123</v>
      </c>
      <c r="B3" s="264"/>
      <c r="C3" s="265"/>
      <c r="D3" s="81"/>
      <c r="E3" s="81"/>
      <c r="F3" s="266" t="s">
        <v>158</v>
      </c>
      <c r="G3" s="267"/>
      <c r="H3" s="268"/>
      <c r="I3" s="79"/>
      <c r="K3" s="266" t="s">
        <v>159</v>
      </c>
      <c r="L3" s="267"/>
      <c r="M3" s="268"/>
      <c r="N3" s="79"/>
    </row>
    <row r="4" spans="1:19" ht="45" x14ac:dyDescent="0.25">
      <c r="A4" s="82" t="s">
        <v>124</v>
      </c>
      <c r="B4" s="82" t="s">
        <v>125</v>
      </c>
      <c r="C4" s="82" t="s">
        <v>126</v>
      </c>
      <c r="D4" s="81"/>
      <c r="E4" s="81"/>
      <c r="F4" s="83" t="s">
        <v>127</v>
      </c>
      <c r="G4" s="83" t="s">
        <v>160</v>
      </c>
      <c r="H4" s="83" t="s">
        <v>126</v>
      </c>
      <c r="I4" s="79"/>
      <c r="K4" s="83" t="s">
        <v>127</v>
      </c>
      <c r="L4" s="83" t="s">
        <v>161</v>
      </c>
      <c r="M4" s="83" t="s">
        <v>126</v>
      </c>
      <c r="N4" s="79"/>
    </row>
    <row r="5" spans="1:19" x14ac:dyDescent="0.25">
      <c r="A5" s="84">
        <v>1</v>
      </c>
      <c r="B5" s="85">
        <f>+C12/3600</f>
        <v>7.5484006734006731E-3</v>
      </c>
      <c r="C5" s="86">
        <f>+A5/B5</f>
        <v>132.47839420128241</v>
      </c>
      <c r="D5" s="87"/>
      <c r="E5" s="87"/>
      <c r="F5" s="84">
        <v>1</v>
      </c>
      <c r="G5" s="85">
        <v>6.6666666666666666E-2</v>
      </c>
      <c r="H5" s="86">
        <f>+F5/G5</f>
        <v>15</v>
      </c>
      <c r="I5" s="88"/>
      <c r="K5" s="84">
        <v>1</v>
      </c>
      <c r="L5" s="85">
        <v>0.1</v>
      </c>
      <c r="M5" s="86">
        <f>+K5/L5</f>
        <v>10</v>
      </c>
      <c r="N5" s="88"/>
    </row>
    <row r="6" spans="1:19" x14ac:dyDescent="0.25">
      <c r="A6" s="59"/>
      <c r="B6" s="79"/>
      <c r="C6" s="59"/>
      <c r="D6" s="79"/>
      <c r="E6" s="89"/>
      <c r="F6" s="59"/>
      <c r="G6" s="59"/>
      <c r="H6" s="79"/>
      <c r="I6" s="79"/>
      <c r="K6" s="59"/>
      <c r="L6" s="59"/>
      <c r="M6" s="79"/>
      <c r="N6" s="79"/>
    </row>
    <row r="7" spans="1:19" x14ac:dyDescent="0.25">
      <c r="A7" s="90" t="s">
        <v>128</v>
      </c>
      <c r="B7" s="79"/>
      <c r="C7" s="59">
        <v>396</v>
      </c>
      <c r="D7" s="89" t="s">
        <v>129</v>
      </c>
      <c r="E7" s="79"/>
      <c r="F7" s="90" t="s">
        <v>162</v>
      </c>
      <c r="G7" s="79"/>
      <c r="H7" s="59">
        <v>4</v>
      </c>
      <c r="I7" s="89" t="s">
        <v>137</v>
      </c>
      <c r="K7" s="90" t="s">
        <v>163</v>
      </c>
      <c r="L7" s="79"/>
      <c r="M7" s="59">
        <v>6</v>
      </c>
      <c r="N7" s="89" t="s">
        <v>137</v>
      </c>
    </row>
    <row r="8" spans="1:19" x14ac:dyDescent="0.25">
      <c r="A8" s="90" t="s">
        <v>130</v>
      </c>
      <c r="B8" s="79"/>
      <c r="C8" s="59">
        <v>63</v>
      </c>
      <c r="D8" s="89" t="s">
        <v>129</v>
      </c>
      <c r="E8" s="79"/>
      <c r="F8" s="90"/>
      <c r="G8" s="79"/>
      <c r="H8" s="59"/>
      <c r="I8" s="89"/>
      <c r="K8" s="90"/>
      <c r="L8" s="79"/>
      <c r="M8" s="59"/>
      <c r="N8" s="89"/>
    </row>
    <row r="9" spans="1:19" x14ac:dyDescent="0.25">
      <c r="A9" s="59"/>
      <c r="B9" s="79"/>
      <c r="C9" s="59"/>
      <c r="D9" s="79"/>
      <c r="E9" s="79"/>
      <c r="F9" s="59"/>
      <c r="G9" s="79"/>
      <c r="H9" s="59"/>
      <c r="I9" s="79"/>
      <c r="K9" s="59"/>
      <c r="L9" s="79"/>
      <c r="M9" s="59"/>
      <c r="N9" s="79"/>
    </row>
    <row r="10" spans="1:19" x14ac:dyDescent="0.25">
      <c r="A10" s="90" t="s">
        <v>131</v>
      </c>
      <c r="B10" s="79"/>
      <c r="C10" s="59">
        <v>1477</v>
      </c>
      <c r="D10" s="89" t="s">
        <v>132</v>
      </c>
      <c r="E10" s="79"/>
      <c r="F10" s="90"/>
      <c r="G10" s="79"/>
      <c r="H10" s="59"/>
      <c r="I10" s="89"/>
      <c r="K10" s="90"/>
      <c r="L10" s="79"/>
      <c r="M10" s="59"/>
      <c r="N10" s="89"/>
    </row>
    <row r="11" spans="1:19" x14ac:dyDescent="0.25">
      <c r="A11" s="91"/>
      <c r="B11" s="79"/>
      <c r="C11" s="59"/>
      <c r="D11" s="79"/>
      <c r="E11" s="79"/>
      <c r="F11" s="91"/>
      <c r="G11" s="79"/>
      <c r="H11" s="59"/>
      <c r="I11" s="79"/>
      <c r="K11" s="91"/>
      <c r="L11" s="79"/>
      <c r="M11" s="59"/>
      <c r="N11" s="79"/>
    </row>
    <row r="12" spans="1:19" x14ac:dyDescent="0.25">
      <c r="A12" s="90" t="s">
        <v>134</v>
      </c>
      <c r="B12" s="79"/>
      <c r="C12" s="92">
        <f>+C10/C7+C10/C8</f>
        <v>27.174242424242422</v>
      </c>
      <c r="D12" s="89" t="s">
        <v>135</v>
      </c>
      <c r="E12" s="79"/>
      <c r="F12" s="90"/>
      <c r="G12" s="79"/>
      <c r="H12" s="92"/>
      <c r="I12" s="89"/>
      <c r="K12" s="90"/>
      <c r="L12" s="79"/>
      <c r="M12" s="92"/>
      <c r="N12" s="89"/>
    </row>
    <row r="13" spans="1:19" x14ac:dyDescent="0.25">
      <c r="A13" s="59"/>
      <c r="B13" s="79"/>
      <c r="C13" s="59"/>
      <c r="D13" s="79"/>
      <c r="E13" s="79"/>
      <c r="F13" s="59"/>
      <c r="G13" s="59"/>
      <c r="H13" s="79"/>
      <c r="I13" s="79"/>
    </row>
    <row r="14" spans="1:19" x14ac:dyDescent="0.25">
      <c r="A14" s="59"/>
      <c r="B14" s="79"/>
      <c r="C14" s="59"/>
      <c r="D14" s="79"/>
      <c r="E14" s="79"/>
      <c r="F14" s="59"/>
      <c r="G14" s="59"/>
      <c r="H14" s="79"/>
      <c r="I14" s="79"/>
    </row>
    <row r="15" spans="1:19" x14ac:dyDescent="0.25">
      <c r="A15" s="263" t="s">
        <v>138</v>
      </c>
      <c r="B15" s="264"/>
      <c r="C15" s="265"/>
      <c r="D15" s="81"/>
      <c r="E15" s="81"/>
      <c r="F15" s="266" t="s">
        <v>139</v>
      </c>
      <c r="G15" s="267"/>
      <c r="H15" s="268"/>
      <c r="I15" s="79"/>
      <c r="K15" s="263" t="s">
        <v>151</v>
      </c>
      <c r="L15" s="264"/>
      <c r="M15" s="265"/>
      <c r="N15" s="81"/>
      <c r="O15" s="79"/>
      <c r="P15" s="263" t="s">
        <v>180</v>
      </c>
      <c r="Q15" s="264"/>
      <c r="R15" s="265"/>
      <c r="S15" s="81"/>
    </row>
    <row r="16" spans="1:19" ht="45" x14ac:dyDescent="0.25">
      <c r="A16" s="82" t="s">
        <v>140</v>
      </c>
      <c r="B16" s="82" t="s">
        <v>141</v>
      </c>
      <c r="C16" s="82" t="s">
        <v>126</v>
      </c>
      <c r="D16" s="81"/>
      <c r="E16" s="81"/>
      <c r="F16" s="83" t="s">
        <v>142</v>
      </c>
      <c r="G16" s="83" t="s">
        <v>143</v>
      </c>
      <c r="H16" s="83" t="s">
        <v>126</v>
      </c>
      <c r="I16" s="79"/>
      <c r="K16" s="82" t="s">
        <v>152</v>
      </c>
      <c r="L16" s="82" t="s">
        <v>153</v>
      </c>
      <c r="M16" s="82" t="s">
        <v>126</v>
      </c>
      <c r="N16" s="81"/>
      <c r="O16" s="79"/>
      <c r="P16" s="82" t="s">
        <v>176</v>
      </c>
      <c r="Q16" s="82" t="s">
        <v>177</v>
      </c>
      <c r="R16" s="82" t="s">
        <v>126</v>
      </c>
      <c r="S16" s="81"/>
    </row>
    <row r="17" spans="1:19" x14ac:dyDescent="0.25">
      <c r="A17" s="84">
        <v>1</v>
      </c>
      <c r="B17" s="85">
        <f>+C24/60</f>
        <v>3.3333333333333333E-2</v>
      </c>
      <c r="C17" s="86">
        <f>+A17/B17</f>
        <v>30</v>
      </c>
      <c r="D17" s="87"/>
      <c r="E17" s="87"/>
      <c r="F17" s="84">
        <v>1</v>
      </c>
      <c r="G17" s="85">
        <f>+H24/60</f>
        <v>2.777777777777778E-2</v>
      </c>
      <c r="H17" s="86">
        <f>+F17/G17</f>
        <v>36</v>
      </c>
      <c r="I17" s="88"/>
      <c r="K17" s="84">
        <v>1</v>
      </c>
      <c r="L17" s="85">
        <f>+M24/60</f>
        <v>1.6666666666666666E-2</v>
      </c>
      <c r="M17" s="86">
        <f>+K17/L17</f>
        <v>60</v>
      </c>
      <c r="N17" s="87"/>
      <c r="O17" s="79"/>
      <c r="P17" s="84">
        <v>1</v>
      </c>
      <c r="Q17" s="85">
        <f>+R24/60</f>
        <v>2.5000000000000001E-2</v>
      </c>
      <c r="R17" s="86">
        <f>+P17/Q17</f>
        <v>40</v>
      </c>
      <c r="S17" s="87"/>
    </row>
    <row r="18" spans="1:19" x14ac:dyDescent="0.25">
      <c r="A18" s="59"/>
      <c r="B18" s="79"/>
      <c r="C18" s="59"/>
      <c r="D18" s="79"/>
      <c r="E18" s="89"/>
      <c r="F18" s="59"/>
      <c r="G18" s="59"/>
      <c r="H18" s="79"/>
      <c r="I18" s="79"/>
      <c r="K18" s="59"/>
      <c r="L18" s="79"/>
      <c r="M18" s="59"/>
      <c r="N18" s="79"/>
      <c r="O18" s="79"/>
      <c r="P18" s="59"/>
      <c r="Q18" s="79"/>
      <c r="R18" s="59"/>
      <c r="S18" s="79"/>
    </row>
    <row r="19" spans="1:19" x14ac:dyDescent="0.25">
      <c r="A19" s="90" t="s">
        <v>144</v>
      </c>
      <c r="B19" s="79"/>
      <c r="C19" s="59">
        <v>10</v>
      </c>
      <c r="D19" s="89" t="s">
        <v>145</v>
      </c>
      <c r="E19" s="79"/>
      <c r="F19" s="90" t="s">
        <v>146</v>
      </c>
      <c r="G19" s="79"/>
      <c r="H19" s="59">
        <v>10</v>
      </c>
      <c r="I19" s="89" t="s">
        <v>145</v>
      </c>
      <c r="K19" s="90" t="s">
        <v>154</v>
      </c>
      <c r="L19" s="79"/>
      <c r="M19" s="59">
        <v>2</v>
      </c>
      <c r="N19" s="89" t="s">
        <v>145</v>
      </c>
      <c r="O19" s="79"/>
      <c r="P19" s="90" t="s">
        <v>154</v>
      </c>
      <c r="Q19" s="79"/>
      <c r="R19" s="59">
        <v>3</v>
      </c>
      <c r="S19" s="89" t="s">
        <v>145</v>
      </c>
    </row>
    <row r="20" spans="1:19" x14ac:dyDescent="0.25">
      <c r="A20" s="90" t="s">
        <v>147</v>
      </c>
      <c r="B20" s="79"/>
      <c r="C20" s="59">
        <v>5</v>
      </c>
      <c r="D20" s="89" t="s">
        <v>148</v>
      </c>
      <c r="E20" s="79"/>
      <c r="F20" s="90" t="s">
        <v>149</v>
      </c>
      <c r="G20" s="79"/>
      <c r="H20" s="59">
        <v>6</v>
      </c>
      <c r="I20" s="89" t="s">
        <v>148</v>
      </c>
      <c r="K20" s="90" t="s">
        <v>155</v>
      </c>
      <c r="L20" s="79"/>
      <c r="M20" s="59">
        <v>2</v>
      </c>
      <c r="N20" s="89" t="s">
        <v>148</v>
      </c>
      <c r="O20" s="79"/>
      <c r="P20" s="90" t="s">
        <v>178</v>
      </c>
      <c r="Q20" s="79"/>
      <c r="R20" s="59">
        <v>2</v>
      </c>
      <c r="S20" s="89" t="s">
        <v>148</v>
      </c>
    </row>
    <row r="21" spans="1:19" x14ac:dyDescent="0.25">
      <c r="A21" s="59"/>
      <c r="B21" s="79"/>
      <c r="C21" s="59"/>
      <c r="D21" s="79"/>
      <c r="E21" s="79"/>
      <c r="F21" s="59"/>
      <c r="G21" s="79"/>
      <c r="H21" s="59"/>
      <c r="I21" s="79"/>
      <c r="K21" s="59"/>
      <c r="L21" s="79"/>
      <c r="M21" s="59"/>
      <c r="N21" s="79"/>
      <c r="O21" s="79"/>
      <c r="P21" s="59"/>
      <c r="Q21" s="79"/>
      <c r="R21" s="59"/>
      <c r="S21" s="79"/>
    </row>
    <row r="22" spans="1:19" x14ac:dyDescent="0.25">
      <c r="A22" s="90" t="s">
        <v>133</v>
      </c>
      <c r="B22" s="79"/>
      <c r="C22" s="59">
        <v>1</v>
      </c>
      <c r="D22" s="89" t="s">
        <v>97</v>
      </c>
      <c r="E22" s="79"/>
      <c r="F22" s="90" t="s">
        <v>131</v>
      </c>
      <c r="G22" s="79"/>
      <c r="H22" s="59">
        <v>1</v>
      </c>
      <c r="I22" s="89" t="s">
        <v>97</v>
      </c>
      <c r="K22" s="90" t="s">
        <v>131</v>
      </c>
      <c r="L22" s="79"/>
      <c r="M22" s="59">
        <v>1</v>
      </c>
      <c r="N22" s="89" t="s">
        <v>97</v>
      </c>
      <c r="O22" s="79"/>
      <c r="P22" s="90" t="s">
        <v>131</v>
      </c>
      <c r="Q22" s="79"/>
      <c r="R22" s="59">
        <v>1</v>
      </c>
      <c r="S22" s="89" t="s">
        <v>97</v>
      </c>
    </row>
    <row r="23" spans="1:19" x14ac:dyDescent="0.25">
      <c r="A23" s="91"/>
      <c r="B23" s="79"/>
      <c r="C23" s="59"/>
      <c r="D23" s="79"/>
      <c r="E23" s="79"/>
      <c r="F23" s="91"/>
      <c r="G23" s="79"/>
      <c r="H23" s="59"/>
      <c r="I23" s="79"/>
      <c r="K23" s="91"/>
      <c r="L23" s="79"/>
      <c r="M23" s="59"/>
      <c r="N23" s="79"/>
      <c r="O23" s="79"/>
      <c r="P23" s="91"/>
      <c r="Q23" s="79"/>
      <c r="R23" s="59"/>
      <c r="S23" s="79"/>
    </row>
    <row r="24" spans="1:19" x14ac:dyDescent="0.25">
      <c r="A24" s="90" t="s">
        <v>150</v>
      </c>
      <c r="B24" s="79"/>
      <c r="C24" s="92">
        <f>+C22*C19/C20</f>
        <v>2</v>
      </c>
      <c r="D24" s="89" t="s">
        <v>137</v>
      </c>
      <c r="E24" s="79"/>
      <c r="F24" s="90" t="s">
        <v>136</v>
      </c>
      <c r="G24" s="79"/>
      <c r="H24" s="92">
        <f>+H22*H19/H20</f>
        <v>1.6666666666666667</v>
      </c>
      <c r="I24" s="89" t="s">
        <v>137</v>
      </c>
      <c r="K24" s="90" t="s">
        <v>156</v>
      </c>
      <c r="L24" s="79"/>
      <c r="M24" s="92">
        <f>+M22*M19/M20</f>
        <v>1</v>
      </c>
      <c r="N24" s="89" t="s">
        <v>137</v>
      </c>
      <c r="O24" s="79"/>
      <c r="P24" s="90" t="s">
        <v>179</v>
      </c>
      <c r="Q24" s="79"/>
      <c r="R24" s="92">
        <f>+R22*R19/R20</f>
        <v>1.5</v>
      </c>
      <c r="S24" s="89" t="s">
        <v>137</v>
      </c>
    </row>
    <row r="25" spans="1:19" x14ac:dyDescent="0.25">
      <c r="A25" s="59"/>
      <c r="B25" s="79"/>
      <c r="C25" s="59"/>
      <c r="D25" s="79"/>
      <c r="E25" s="79"/>
      <c r="F25" s="59"/>
      <c r="G25" s="59"/>
      <c r="H25" s="79"/>
      <c r="I25" s="79"/>
      <c r="K25" s="59"/>
      <c r="L25" s="79"/>
      <c r="M25" s="59"/>
      <c r="N25" s="79"/>
      <c r="O25" s="79"/>
    </row>
    <row r="26" spans="1:19" x14ac:dyDescent="0.25">
      <c r="A26" s="59"/>
      <c r="B26" s="79"/>
      <c r="C26" s="59"/>
      <c r="D26" s="79"/>
      <c r="E26" s="79"/>
      <c r="F26" s="59"/>
      <c r="G26" s="59"/>
      <c r="H26" s="79"/>
      <c r="I26" s="79"/>
    </row>
    <row r="27" spans="1:19" ht="60" x14ac:dyDescent="0.25">
      <c r="A27" s="93" t="s">
        <v>164</v>
      </c>
      <c r="B27" s="93" t="s">
        <v>165</v>
      </c>
      <c r="C27" s="93" t="s">
        <v>166</v>
      </c>
      <c r="D27" s="93" t="s">
        <v>167</v>
      </c>
      <c r="E27" s="93" t="s">
        <v>168</v>
      </c>
      <c r="F27" s="93" t="s">
        <v>169</v>
      </c>
      <c r="G27" s="79"/>
      <c r="H27" s="79"/>
      <c r="I27" s="79"/>
    </row>
    <row r="28" spans="1:19" x14ac:dyDescent="0.25">
      <c r="A28" s="94" t="s">
        <v>8</v>
      </c>
      <c r="B28" s="95">
        <f>+H5</f>
        <v>15</v>
      </c>
      <c r="C28" s="95">
        <f>+'Ejercicio 2'!$C$13</f>
        <v>1840</v>
      </c>
      <c r="D28" s="95">
        <f t="shared" ref="D28:D34" si="0">B28*C28</f>
        <v>27600</v>
      </c>
      <c r="E28" s="96">
        <f>(C28-D38)/C28</f>
        <v>0.9375</v>
      </c>
      <c r="F28" s="99">
        <f t="shared" ref="F28:F34" si="1">E28*D28</f>
        <v>25875</v>
      </c>
      <c r="G28" s="79"/>
      <c r="H28" s="79"/>
      <c r="I28" s="79"/>
    </row>
    <row r="29" spans="1:19" x14ac:dyDescent="0.25">
      <c r="A29" s="94" t="s">
        <v>26</v>
      </c>
      <c r="B29" s="95">
        <f>+M5</f>
        <v>10</v>
      </c>
      <c r="C29" s="95">
        <f>+'Ejercicio 2'!$C$13</f>
        <v>1840</v>
      </c>
      <c r="D29" s="95">
        <f t="shared" si="0"/>
        <v>18400</v>
      </c>
      <c r="E29" s="96">
        <f t="shared" ref="E29:E34" si="2">(C29-D39)/C29</f>
        <v>0.90625</v>
      </c>
      <c r="F29" s="99">
        <f t="shared" si="1"/>
        <v>16675</v>
      </c>
      <c r="G29" s="79"/>
      <c r="H29" s="79"/>
      <c r="I29" s="79"/>
    </row>
    <row r="30" spans="1:19" x14ac:dyDescent="0.25">
      <c r="A30" s="94" t="s">
        <v>9</v>
      </c>
      <c r="B30" s="95">
        <f>+C17</f>
        <v>30</v>
      </c>
      <c r="C30" s="95">
        <f>+'Ejercicio 2'!$C$13</f>
        <v>1840</v>
      </c>
      <c r="D30" s="95">
        <f t="shared" si="0"/>
        <v>55200</v>
      </c>
      <c r="E30" s="96">
        <f t="shared" si="2"/>
        <v>0.97916666666666674</v>
      </c>
      <c r="F30" s="99">
        <f t="shared" si="1"/>
        <v>54050.000000000007</v>
      </c>
      <c r="G30" s="79"/>
      <c r="H30" s="79"/>
      <c r="I30" s="79"/>
    </row>
    <row r="31" spans="1:19" x14ac:dyDescent="0.25">
      <c r="A31" s="94" t="s">
        <v>7</v>
      </c>
      <c r="B31" s="95">
        <f>+C5</f>
        <v>132.47839420128241</v>
      </c>
      <c r="C31" s="95">
        <f>+'Ejercicio 2'!$C$13</f>
        <v>1840</v>
      </c>
      <c r="D31" s="95">
        <f t="shared" si="0"/>
        <v>243760.24533035964</v>
      </c>
      <c r="E31" s="96">
        <f t="shared" si="2"/>
        <v>0.91666666666666674</v>
      </c>
      <c r="F31" s="99">
        <f t="shared" si="1"/>
        <v>223446.89155282968</v>
      </c>
      <c r="G31" s="79"/>
      <c r="H31" s="79"/>
      <c r="I31" s="79"/>
    </row>
    <row r="32" spans="1:19" x14ac:dyDescent="0.25">
      <c r="A32" s="94" t="s">
        <v>10</v>
      </c>
      <c r="B32" s="95">
        <f>+H17</f>
        <v>36</v>
      </c>
      <c r="C32" s="95">
        <f>+'Ejercicio 2'!$C$13</f>
        <v>1840</v>
      </c>
      <c r="D32" s="95">
        <f t="shared" si="0"/>
        <v>66240</v>
      </c>
      <c r="E32" s="96">
        <f t="shared" si="2"/>
        <v>0.98958333333333326</v>
      </c>
      <c r="F32" s="99">
        <f t="shared" si="1"/>
        <v>65550</v>
      </c>
      <c r="G32" s="79"/>
      <c r="H32" s="79"/>
      <c r="I32" s="79"/>
    </row>
    <row r="33" spans="1:9" x14ac:dyDescent="0.25">
      <c r="A33" s="94" t="s">
        <v>11</v>
      </c>
      <c r="B33" s="95">
        <f>+R17</f>
        <v>40</v>
      </c>
      <c r="C33" s="95">
        <f>+'Ejercicio 2'!$C$13</f>
        <v>1840</v>
      </c>
      <c r="D33" s="95">
        <f t="shared" si="0"/>
        <v>73600</v>
      </c>
      <c r="E33" s="96">
        <f t="shared" si="2"/>
        <v>0.99791666666666667</v>
      </c>
      <c r="F33" s="99">
        <f t="shared" si="1"/>
        <v>73446.666666666672</v>
      </c>
      <c r="G33" s="79"/>
      <c r="H33" s="79"/>
      <c r="I33" s="79"/>
    </row>
    <row r="34" spans="1:9" x14ac:dyDescent="0.25">
      <c r="A34" s="94" t="s">
        <v>12</v>
      </c>
      <c r="B34" s="95">
        <f>+M17</f>
        <v>60</v>
      </c>
      <c r="C34" s="95">
        <f>+'Ejercicio 2'!$C$13</f>
        <v>1840</v>
      </c>
      <c r="D34" s="95">
        <f t="shared" si="0"/>
        <v>110400</v>
      </c>
      <c r="E34" s="96">
        <f t="shared" si="2"/>
        <v>0.97499999999999998</v>
      </c>
      <c r="F34" s="99">
        <f t="shared" si="1"/>
        <v>107640</v>
      </c>
      <c r="G34" s="79"/>
      <c r="H34" s="79"/>
      <c r="I34" s="79"/>
    </row>
    <row r="35" spans="1:9" x14ac:dyDescent="0.25">
      <c r="A35" s="59"/>
      <c r="B35" s="59"/>
      <c r="C35" s="59"/>
      <c r="D35" s="59"/>
      <c r="E35" s="59"/>
      <c r="F35" s="59"/>
      <c r="G35" s="79"/>
      <c r="H35" s="79"/>
      <c r="I35" s="79"/>
    </row>
    <row r="36" spans="1:9" x14ac:dyDescent="0.25">
      <c r="A36" s="254" t="s">
        <v>170</v>
      </c>
      <c r="B36" s="255"/>
      <c r="C36" s="255"/>
      <c r="D36" s="256"/>
      <c r="E36" s="59"/>
      <c r="F36" s="59" t="s">
        <v>110</v>
      </c>
      <c r="G36" s="79">
        <v>230</v>
      </c>
      <c r="H36" s="79" t="s">
        <v>105</v>
      </c>
      <c r="I36" s="79"/>
    </row>
    <row r="37" spans="1:9" x14ac:dyDescent="0.25">
      <c r="A37" s="97"/>
      <c r="B37" s="97" t="s">
        <v>171</v>
      </c>
      <c r="C37" s="94" t="s">
        <v>172</v>
      </c>
      <c r="D37" s="97" t="s">
        <v>173</v>
      </c>
      <c r="E37" s="59"/>
      <c r="F37" s="59"/>
      <c r="G37" s="79"/>
      <c r="H37" s="79"/>
      <c r="I37" s="79"/>
    </row>
    <row r="38" spans="1:9" x14ac:dyDescent="0.25">
      <c r="A38" s="94" t="s">
        <v>8</v>
      </c>
      <c r="B38" s="97">
        <v>0.5</v>
      </c>
      <c r="C38" s="97">
        <f>+$G$36</f>
        <v>230</v>
      </c>
      <c r="D38" s="95">
        <f t="shared" ref="D38:D44" si="3">C38*B38</f>
        <v>115</v>
      </c>
      <c r="E38" s="59"/>
      <c r="F38" s="59"/>
      <c r="G38" s="79"/>
      <c r="H38" s="79"/>
      <c r="I38" s="79"/>
    </row>
    <row r="39" spans="1:9" x14ac:dyDescent="0.25">
      <c r="A39" s="94" t="s">
        <v>26</v>
      </c>
      <c r="B39" s="97">
        <v>0.75</v>
      </c>
      <c r="C39" s="97">
        <f t="shared" ref="C39:C44" si="4">+$G$36</f>
        <v>230</v>
      </c>
      <c r="D39" s="95">
        <f t="shared" si="3"/>
        <v>172.5</v>
      </c>
      <c r="E39" s="59"/>
      <c r="F39" s="59"/>
      <c r="G39" s="79"/>
      <c r="H39" s="79"/>
      <c r="I39" s="79"/>
    </row>
    <row r="40" spans="1:9" x14ac:dyDescent="0.25">
      <c r="A40" s="94" t="s">
        <v>9</v>
      </c>
      <c r="B40" s="96">
        <f>10/60</f>
        <v>0.16666666666666666</v>
      </c>
      <c r="C40" s="97">
        <f t="shared" si="4"/>
        <v>230</v>
      </c>
      <c r="D40" s="95">
        <f t="shared" si="3"/>
        <v>38.333333333333329</v>
      </c>
      <c r="E40" s="59"/>
      <c r="F40" s="59"/>
      <c r="G40" s="79"/>
      <c r="H40" s="79"/>
      <c r="I40" s="79"/>
    </row>
    <row r="41" spans="1:9" x14ac:dyDescent="0.25">
      <c r="A41" s="94" t="s">
        <v>7</v>
      </c>
      <c r="B41" s="96">
        <f>40/60</f>
        <v>0.66666666666666663</v>
      </c>
      <c r="C41" s="97">
        <f t="shared" si="4"/>
        <v>230</v>
      </c>
      <c r="D41" s="95">
        <f t="shared" si="3"/>
        <v>153.33333333333331</v>
      </c>
      <c r="E41" s="59"/>
      <c r="F41" s="59"/>
      <c r="G41" s="79"/>
      <c r="H41" s="79"/>
    </row>
    <row r="42" spans="1:9" x14ac:dyDescent="0.25">
      <c r="A42" s="94" t="s">
        <v>10</v>
      </c>
      <c r="B42" s="96">
        <f>5/60</f>
        <v>8.3333333333333329E-2</v>
      </c>
      <c r="C42" s="97">
        <f t="shared" si="4"/>
        <v>230</v>
      </c>
      <c r="D42" s="95">
        <f t="shared" si="3"/>
        <v>19.166666666666664</v>
      </c>
      <c r="E42" s="59"/>
      <c r="F42" s="59"/>
      <c r="G42" s="79"/>
      <c r="H42" s="79"/>
    </row>
    <row r="43" spans="1:9" x14ac:dyDescent="0.25">
      <c r="A43" s="94" t="s">
        <v>11</v>
      </c>
      <c r="B43" s="96">
        <f>1/60</f>
        <v>1.6666666666666666E-2</v>
      </c>
      <c r="C43" s="97">
        <f t="shared" si="4"/>
        <v>230</v>
      </c>
      <c r="D43" s="95">
        <f t="shared" si="3"/>
        <v>3.8333333333333335</v>
      </c>
      <c r="E43" s="59"/>
      <c r="F43" s="59"/>
      <c r="G43" s="79"/>
      <c r="H43" s="79"/>
    </row>
    <row r="44" spans="1:9" x14ac:dyDescent="0.25">
      <c r="A44" s="94" t="s">
        <v>12</v>
      </c>
      <c r="B44" s="96">
        <f>12/60</f>
        <v>0.2</v>
      </c>
      <c r="C44" s="97">
        <f t="shared" si="4"/>
        <v>230</v>
      </c>
      <c r="D44" s="95">
        <f t="shared" si="3"/>
        <v>46</v>
      </c>
      <c r="E44" s="59"/>
      <c r="F44" s="59"/>
      <c r="G44" s="79"/>
      <c r="H44" s="79"/>
    </row>
    <row r="45" spans="1:9" x14ac:dyDescent="0.25">
      <c r="E45" s="59"/>
      <c r="F45" s="59"/>
      <c r="G45" s="79"/>
      <c r="H45" s="79"/>
    </row>
    <row r="47" spans="1:9" x14ac:dyDescent="0.25">
      <c r="A47" s="257" t="s">
        <v>174</v>
      </c>
      <c r="B47" s="258"/>
      <c r="C47" s="258"/>
      <c r="D47" s="259"/>
    </row>
    <row r="48" spans="1:9" x14ac:dyDescent="0.25">
      <c r="A48" s="260"/>
      <c r="B48" s="261"/>
      <c r="C48" s="261"/>
      <c r="D48" s="262"/>
    </row>
  </sheetData>
  <mergeCells count="9">
    <mergeCell ref="A36:D36"/>
    <mergeCell ref="A47:D48"/>
    <mergeCell ref="P15:R15"/>
    <mergeCell ref="A3:C3"/>
    <mergeCell ref="F3:H3"/>
    <mergeCell ref="A15:C15"/>
    <mergeCell ref="F15:H15"/>
    <mergeCell ref="K15:M15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65019-761E-4C5D-8B98-CA0D6A13E851}">
  <dimension ref="A1:G10"/>
  <sheetViews>
    <sheetView workbookViewId="0">
      <selection activeCell="A3" sqref="A3:G5"/>
    </sheetView>
  </sheetViews>
  <sheetFormatPr baseColWidth="10" defaultRowHeight="15" x14ac:dyDescent="0.25"/>
  <sheetData>
    <row r="1" spans="1:7" x14ac:dyDescent="0.25">
      <c r="A1" s="59"/>
      <c r="B1" s="59"/>
      <c r="C1" s="59"/>
      <c r="D1" s="59"/>
      <c r="E1" s="59"/>
      <c r="F1" s="59"/>
      <c r="G1" s="59"/>
    </row>
    <row r="2" spans="1:7" x14ac:dyDescent="0.25">
      <c r="A2" s="59"/>
      <c r="B2" s="59"/>
      <c r="C2" s="59"/>
      <c r="D2" s="59"/>
      <c r="E2" s="59"/>
      <c r="F2" s="59"/>
      <c r="G2" s="59"/>
    </row>
    <row r="3" spans="1:7" ht="75" x14ac:dyDescent="0.25">
      <c r="A3" s="93" t="s">
        <v>164</v>
      </c>
      <c r="B3" s="93" t="s">
        <v>181</v>
      </c>
      <c r="C3" s="93" t="s">
        <v>182</v>
      </c>
      <c r="D3" s="93" t="s">
        <v>183</v>
      </c>
      <c r="E3" s="93" t="s">
        <v>183</v>
      </c>
      <c r="F3" s="93" t="s">
        <v>184</v>
      </c>
      <c r="G3" s="93" t="s">
        <v>185</v>
      </c>
    </row>
    <row r="4" spans="1:7" x14ac:dyDescent="0.25">
      <c r="A4" s="94" t="s">
        <v>8</v>
      </c>
      <c r="B4" s="100">
        <f>+'Ejercicio 1'!$B$42</f>
        <v>50000</v>
      </c>
      <c r="C4" s="99">
        <f>+'Ejercicio 3'!F28</f>
        <v>25875</v>
      </c>
      <c r="D4" s="101">
        <f t="shared" ref="D4:D10" si="0">B4/C4</f>
        <v>1.932367149758454</v>
      </c>
      <c r="E4" s="104">
        <f t="shared" ref="E4:E10" si="1">ROUNDUP(D4,0)</f>
        <v>2</v>
      </c>
      <c r="F4" s="102">
        <f t="shared" ref="F4:F10" si="2">E4*C4</f>
        <v>51750</v>
      </c>
      <c r="G4" s="103">
        <f t="shared" ref="G4:G10" si="3">B4/F4</f>
        <v>0.96618357487922701</v>
      </c>
    </row>
    <row r="5" spans="1:7" x14ac:dyDescent="0.25">
      <c r="A5" s="94" t="s">
        <v>26</v>
      </c>
      <c r="B5" s="100">
        <f>+'Ejercicio 1'!$B$42</f>
        <v>50000</v>
      </c>
      <c r="C5" s="99">
        <f>+'Ejercicio 3'!F29</f>
        <v>16675</v>
      </c>
      <c r="D5" s="101">
        <f t="shared" si="0"/>
        <v>2.9985007496251872</v>
      </c>
      <c r="E5" s="104">
        <f t="shared" si="1"/>
        <v>3</v>
      </c>
      <c r="F5" s="102">
        <f t="shared" si="2"/>
        <v>50025</v>
      </c>
      <c r="G5" s="103">
        <f t="shared" si="3"/>
        <v>0.99950024987506247</v>
      </c>
    </row>
    <row r="6" spans="1:7" x14ac:dyDescent="0.25">
      <c r="A6" s="94" t="s">
        <v>9</v>
      </c>
      <c r="B6" s="100">
        <f>+'Ejercicio 1'!$B$42</f>
        <v>50000</v>
      </c>
      <c r="C6" s="99">
        <f>+'Ejercicio 3'!F30</f>
        <v>54050.000000000007</v>
      </c>
      <c r="D6" s="101">
        <f t="shared" si="0"/>
        <v>0.92506938020351515</v>
      </c>
      <c r="E6" s="104">
        <f t="shared" si="1"/>
        <v>1</v>
      </c>
      <c r="F6" s="102">
        <f t="shared" si="2"/>
        <v>54050.000000000007</v>
      </c>
      <c r="G6" s="103">
        <f t="shared" si="3"/>
        <v>0.92506938020351515</v>
      </c>
    </row>
    <row r="7" spans="1:7" x14ac:dyDescent="0.25">
      <c r="A7" s="94" t="s">
        <v>7</v>
      </c>
      <c r="B7" s="100">
        <f>+'Ejercicio 1'!$B$42</f>
        <v>50000</v>
      </c>
      <c r="C7" s="99">
        <f>+'Ejercicio 3'!F31</f>
        <v>223446.89155282968</v>
      </c>
      <c r="D7" s="101">
        <f t="shared" si="0"/>
        <v>0.22376681838144288</v>
      </c>
      <c r="E7" s="104">
        <f t="shared" si="1"/>
        <v>1</v>
      </c>
      <c r="F7" s="102">
        <f t="shared" si="2"/>
        <v>223446.89155282968</v>
      </c>
      <c r="G7" s="103">
        <f t="shared" si="3"/>
        <v>0.22376681838144288</v>
      </c>
    </row>
    <row r="8" spans="1:7" x14ac:dyDescent="0.25">
      <c r="A8" s="94" t="s">
        <v>10</v>
      </c>
      <c r="B8" s="100">
        <f>+'Ejercicio 1'!$B$42</f>
        <v>50000</v>
      </c>
      <c r="C8" s="99">
        <f>+'Ejercicio 3'!F32</f>
        <v>65550</v>
      </c>
      <c r="D8" s="101">
        <f t="shared" si="0"/>
        <v>0.76277650648360029</v>
      </c>
      <c r="E8" s="104">
        <f t="shared" si="1"/>
        <v>1</v>
      </c>
      <c r="F8" s="102">
        <f t="shared" si="2"/>
        <v>65550</v>
      </c>
      <c r="G8" s="103">
        <f t="shared" si="3"/>
        <v>0.76277650648360029</v>
      </c>
    </row>
    <row r="9" spans="1:7" x14ac:dyDescent="0.25">
      <c r="A9" s="94" t="s">
        <v>11</v>
      </c>
      <c r="B9" s="100">
        <f>+'Ejercicio 1'!$B$42</f>
        <v>50000</v>
      </c>
      <c r="C9" s="99">
        <f>+'Ejercicio 3'!F33</f>
        <v>73446.666666666672</v>
      </c>
      <c r="D9" s="101">
        <f t="shared" si="0"/>
        <v>0.68076608877189793</v>
      </c>
      <c r="E9" s="104">
        <f t="shared" si="1"/>
        <v>1</v>
      </c>
      <c r="F9" s="102">
        <f t="shared" si="2"/>
        <v>73446.666666666672</v>
      </c>
      <c r="G9" s="103">
        <f t="shared" si="3"/>
        <v>0.68076608877189793</v>
      </c>
    </row>
    <row r="10" spans="1:7" x14ac:dyDescent="0.25">
      <c r="A10" s="94" t="s">
        <v>12</v>
      </c>
      <c r="B10" s="100">
        <f>+'Ejercicio 1'!$B$42</f>
        <v>50000</v>
      </c>
      <c r="C10" s="99">
        <f>+'Ejercicio 3'!F34</f>
        <v>107640</v>
      </c>
      <c r="D10" s="101">
        <f t="shared" si="0"/>
        <v>0.46451133407655149</v>
      </c>
      <c r="E10" s="104">
        <f t="shared" si="1"/>
        <v>1</v>
      </c>
      <c r="F10" s="102">
        <f t="shared" si="2"/>
        <v>107640</v>
      </c>
      <c r="G10" s="103">
        <f t="shared" si="3"/>
        <v>0.46451133407655149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B64E-B39B-4B3B-8CBD-4AAF7D7C850E}">
  <dimension ref="A1:G2"/>
  <sheetViews>
    <sheetView workbookViewId="0">
      <selection activeCell="D1" sqref="D1"/>
    </sheetView>
  </sheetViews>
  <sheetFormatPr baseColWidth="10" defaultRowHeight="15" x14ac:dyDescent="0.25"/>
  <sheetData>
    <row r="1" spans="1:7" ht="75" x14ac:dyDescent="0.25">
      <c r="A1" s="93" t="s">
        <v>164</v>
      </c>
      <c r="B1" s="93" t="s">
        <v>181</v>
      </c>
      <c r="C1" s="93" t="s">
        <v>182</v>
      </c>
      <c r="D1" s="93" t="s">
        <v>183</v>
      </c>
      <c r="E1" s="93" t="s">
        <v>183</v>
      </c>
      <c r="F1" s="93" t="s">
        <v>184</v>
      </c>
      <c r="G1" s="93" t="s">
        <v>185</v>
      </c>
    </row>
    <row r="2" spans="1:7" x14ac:dyDescent="0.25">
      <c r="A2" s="94" t="s">
        <v>26</v>
      </c>
      <c r="B2" s="100">
        <f>+VLOOKUP($A$2,'Ejercicio 4'!$A$3:$G$10,2,FALSE)</f>
        <v>50000</v>
      </c>
      <c r="C2" s="100">
        <f>+VLOOKUP($A$2,'Ejercicio 4'!$A$3:$G$10,3,FALSE)</f>
        <v>16675</v>
      </c>
      <c r="D2" s="105">
        <f>+VLOOKUP($A$2,'Ejercicio 4'!$A$3:$G$10,4,FALSE)</f>
        <v>2.9985007496251872</v>
      </c>
      <c r="E2" s="100">
        <f>+VLOOKUP($A$2,'Ejercicio 4'!$A$3:$G$10,5,FALSE)</f>
        <v>3</v>
      </c>
      <c r="F2" s="100">
        <f>+VLOOKUP($A$2,'Ejercicio 4'!$A$3:$G$10,6,FALSE)</f>
        <v>50025</v>
      </c>
      <c r="G2" s="100">
        <f>+VLOOKUP($A$2,'Ejercicio 4'!$A$3:$G$10,7,FALSE)</f>
        <v>0.99950024987506247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99A7-2B65-4036-BC5D-CA3AF4B1FBE6}">
  <dimension ref="A1:F55"/>
  <sheetViews>
    <sheetView topLeftCell="A21" workbookViewId="0">
      <selection activeCell="F21" sqref="F21"/>
    </sheetView>
  </sheetViews>
  <sheetFormatPr baseColWidth="10" defaultRowHeight="15" x14ac:dyDescent="0.25"/>
  <sheetData>
    <row r="1" spans="1:6" ht="18.75" x14ac:dyDescent="0.3">
      <c r="A1" s="269" t="s">
        <v>186</v>
      </c>
      <c r="B1" s="270"/>
      <c r="C1" s="270"/>
      <c r="D1" s="270"/>
      <c r="E1" s="270"/>
      <c r="F1" s="270"/>
    </row>
    <row r="2" spans="1:6" x14ac:dyDescent="0.25">
      <c r="A2" s="59"/>
      <c r="B2" s="59"/>
      <c r="C2" s="59"/>
      <c r="D2" s="59"/>
      <c r="E2" s="59"/>
      <c r="F2" s="59"/>
    </row>
    <row r="3" spans="1:6" x14ac:dyDescent="0.25">
      <c r="A3" s="106" t="s">
        <v>187</v>
      </c>
      <c r="B3" s="59"/>
      <c r="C3" s="59"/>
      <c r="D3" s="59"/>
      <c r="E3" s="59"/>
      <c r="F3" s="59"/>
    </row>
    <row r="4" spans="1:6" x14ac:dyDescent="0.25">
      <c r="A4" s="59"/>
      <c r="B4" s="59"/>
      <c r="C4" s="59"/>
      <c r="D4" s="59"/>
      <c r="E4" s="59"/>
      <c r="F4" s="59"/>
    </row>
    <row r="5" spans="1:6" x14ac:dyDescent="0.25">
      <c r="A5" s="59" t="s">
        <v>188</v>
      </c>
      <c r="B5" s="59"/>
      <c r="C5" s="59"/>
      <c r="D5" s="59">
        <v>1</v>
      </c>
      <c r="E5" s="59" t="s">
        <v>189</v>
      </c>
      <c r="F5" s="59"/>
    </row>
    <row r="6" spans="1:6" x14ac:dyDescent="0.25">
      <c r="A6" s="59" t="s">
        <v>190</v>
      </c>
      <c r="B6" s="59">
        <v>11</v>
      </c>
      <c r="C6" s="59" t="s">
        <v>117</v>
      </c>
      <c r="D6" s="59">
        <v>0.5</v>
      </c>
      <c r="E6" s="59" t="s">
        <v>189</v>
      </c>
      <c r="F6" s="59"/>
    </row>
    <row r="7" spans="1:6" x14ac:dyDescent="0.25">
      <c r="A7" s="59"/>
      <c r="B7" s="59"/>
      <c r="C7" s="59"/>
      <c r="D7" s="59"/>
      <c r="E7" s="59"/>
      <c r="F7" s="59"/>
    </row>
    <row r="8" spans="1:6" x14ac:dyDescent="0.25">
      <c r="A8" s="59"/>
      <c r="B8" s="59"/>
      <c r="C8" s="59"/>
      <c r="D8" s="59"/>
      <c r="E8" s="59"/>
      <c r="F8" s="59"/>
    </row>
    <row r="9" spans="1:6" ht="60" x14ac:dyDescent="0.25">
      <c r="A9" s="4"/>
      <c r="B9" s="4" t="s">
        <v>191</v>
      </c>
      <c r="C9" s="93" t="s">
        <v>192</v>
      </c>
      <c r="D9" s="59"/>
      <c r="E9" s="59"/>
      <c r="F9" s="59"/>
    </row>
    <row r="10" spans="1:6" x14ac:dyDescent="0.25">
      <c r="A10" s="4" t="s">
        <v>82</v>
      </c>
      <c r="B10" s="3">
        <f>+'Ejercicio 1'!B41</f>
        <v>20000</v>
      </c>
      <c r="C10" s="107">
        <f t="shared" ref="C10:C16" si="0">B10/(12-SUM(D$5:D$6))</f>
        <v>1904.7619047619048</v>
      </c>
      <c r="D10" s="59"/>
      <c r="E10" s="59"/>
      <c r="F10" s="59"/>
    </row>
    <row r="11" spans="1:6" x14ac:dyDescent="0.25">
      <c r="A11" s="4" t="s">
        <v>83</v>
      </c>
      <c r="B11" s="3">
        <f>+'Ejercicio 1'!B42</f>
        <v>50000</v>
      </c>
      <c r="C11" s="107">
        <f t="shared" si="0"/>
        <v>4761.9047619047615</v>
      </c>
      <c r="D11" s="59"/>
      <c r="E11" s="59"/>
      <c r="F11" s="59"/>
    </row>
    <row r="12" spans="1:6" x14ac:dyDescent="0.25">
      <c r="A12" s="4" t="s">
        <v>84</v>
      </c>
      <c r="B12" s="3">
        <f>+'Ejercicio 1'!B43</f>
        <v>50000</v>
      </c>
      <c r="C12" s="107">
        <f t="shared" si="0"/>
        <v>4761.9047619047615</v>
      </c>
      <c r="D12" s="59"/>
      <c r="E12" s="59"/>
      <c r="F12" s="59"/>
    </row>
    <row r="13" spans="1:6" x14ac:dyDescent="0.25">
      <c r="A13" s="4" t="s">
        <v>85</v>
      </c>
      <c r="B13" s="3">
        <f>+'Ejercicio 1'!B44</f>
        <v>50000</v>
      </c>
      <c r="C13" s="107">
        <f t="shared" si="0"/>
        <v>4761.9047619047615</v>
      </c>
      <c r="D13" s="59"/>
      <c r="E13" s="108"/>
      <c r="F13" s="59"/>
    </row>
    <row r="14" spans="1:6" x14ac:dyDescent="0.25">
      <c r="A14" s="4" t="s">
        <v>86</v>
      </c>
      <c r="B14" s="3">
        <f>+'Ejercicio 1'!B45</f>
        <v>50000</v>
      </c>
      <c r="C14" s="107">
        <f t="shared" si="0"/>
        <v>4761.9047619047615</v>
      </c>
      <c r="D14" s="59"/>
      <c r="E14" s="59"/>
      <c r="F14" s="59"/>
    </row>
    <row r="15" spans="1:6" x14ac:dyDescent="0.25">
      <c r="A15" s="4" t="s">
        <v>87</v>
      </c>
      <c r="B15" s="3">
        <f>+'Ejercicio 1'!B46</f>
        <v>0</v>
      </c>
      <c r="C15" s="107">
        <f t="shared" si="0"/>
        <v>0</v>
      </c>
      <c r="D15" s="59"/>
      <c r="E15" s="59"/>
      <c r="F15" s="59"/>
    </row>
    <row r="16" spans="1:6" x14ac:dyDescent="0.25">
      <c r="A16" s="4" t="s">
        <v>88</v>
      </c>
      <c r="B16" s="3">
        <f>+'Ejercicio 1'!B47</f>
        <v>0</v>
      </c>
      <c r="C16" s="107">
        <f t="shared" si="0"/>
        <v>0</v>
      </c>
      <c r="D16" s="59"/>
      <c r="E16" s="59"/>
      <c r="F16" s="59"/>
    </row>
    <row r="17" spans="1:6" x14ac:dyDescent="0.25">
      <c r="A17" s="59"/>
      <c r="B17" s="59"/>
      <c r="C17" s="59"/>
      <c r="D17" s="59"/>
      <c r="E17" s="59"/>
      <c r="F17" s="59"/>
    </row>
    <row r="18" spans="1:6" x14ac:dyDescent="0.25">
      <c r="A18" s="59"/>
      <c r="B18" s="59"/>
      <c r="C18" s="59"/>
      <c r="D18" s="59"/>
      <c r="E18" s="59"/>
      <c r="F18" s="59"/>
    </row>
    <row r="19" spans="1:6" x14ac:dyDescent="0.25">
      <c r="A19" s="106" t="s">
        <v>193</v>
      </c>
      <c r="B19" s="59"/>
      <c r="C19" s="59"/>
      <c r="D19" s="59"/>
      <c r="E19" s="59"/>
      <c r="F19" s="59"/>
    </row>
    <row r="20" spans="1:6" x14ac:dyDescent="0.25">
      <c r="A20" s="59"/>
      <c r="B20" s="59"/>
      <c r="C20" s="59"/>
      <c r="D20" s="59"/>
      <c r="E20" s="59"/>
      <c r="F20" s="59"/>
    </row>
    <row r="21" spans="1:6" x14ac:dyDescent="0.25">
      <c r="A21" s="59" t="s">
        <v>221</v>
      </c>
      <c r="B21" s="59"/>
      <c r="C21" s="59"/>
      <c r="D21" s="59"/>
      <c r="E21" s="59"/>
      <c r="F21" s="59"/>
    </row>
    <row r="22" spans="1:6" x14ac:dyDescent="0.25">
      <c r="A22" s="59"/>
      <c r="B22" s="59"/>
      <c r="C22" s="59"/>
      <c r="D22" s="59"/>
      <c r="E22" s="59"/>
      <c r="F22" s="59"/>
    </row>
    <row r="23" spans="1:6" ht="60" x14ac:dyDescent="0.25">
      <c r="A23" s="4" t="s">
        <v>194</v>
      </c>
      <c r="B23" s="93" t="s">
        <v>195</v>
      </c>
      <c r="C23" s="93" t="s">
        <v>196</v>
      </c>
      <c r="D23" s="93" t="s">
        <v>197</v>
      </c>
      <c r="E23" s="93" t="s">
        <v>198</v>
      </c>
      <c r="F23" s="109" t="s">
        <v>199</v>
      </c>
    </row>
    <row r="24" spans="1:6" x14ac:dyDescent="0.25">
      <c r="A24" s="4">
        <v>1</v>
      </c>
      <c r="B24" s="4">
        <v>0</v>
      </c>
      <c r="C24" s="4">
        <v>5</v>
      </c>
      <c r="D24" s="4">
        <f t="shared" ref="D24:D30" si="1">(C24+B24)/2</f>
        <v>2.5</v>
      </c>
      <c r="E24" s="107">
        <f>$C$10</f>
        <v>1904.7619047619048</v>
      </c>
      <c r="F24" s="107">
        <f t="shared" ref="F24:F30" si="2">(E24*D24)/100</f>
        <v>47.61904761904762</v>
      </c>
    </row>
    <row r="25" spans="1:6" x14ac:dyDescent="0.25">
      <c r="A25" s="4">
        <v>2</v>
      </c>
      <c r="B25" s="4">
        <f t="shared" ref="B25:B30" si="3">+C24</f>
        <v>5</v>
      </c>
      <c r="C25" s="4">
        <v>15</v>
      </c>
      <c r="D25" s="4">
        <f t="shared" si="1"/>
        <v>10</v>
      </c>
      <c r="E25" s="107">
        <f t="shared" ref="E25:E30" si="4">$C$10</f>
        <v>1904.7619047619048</v>
      </c>
      <c r="F25" s="107">
        <f t="shared" si="2"/>
        <v>190.47619047619048</v>
      </c>
    </row>
    <row r="26" spans="1:6" x14ac:dyDescent="0.25">
      <c r="A26" s="4">
        <v>3</v>
      </c>
      <c r="B26" s="4">
        <f t="shared" si="3"/>
        <v>15</v>
      </c>
      <c r="C26" s="4">
        <v>25</v>
      </c>
      <c r="D26" s="4">
        <f t="shared" si="1"/>
        <v>20</v>
      </c>
      <c r="E26" s="107">
        <f t="shared" si="4"/>
        <v>1904.7619047619048</v>
      </c>
      <c r="F26" s="107">
        <f t="shared" si="2"/>
        <v>380.95238095238096</v>
      </c>
    </row>
    <row r="27" spans="1:6" x14ac:dyDescent="0.25">
      <c r="A27" s="4">
        <v>4</v>
      </c>
      <c r="B27" s="4">
        <f t="shared" si="3"/>
        <v>25</v>
      </c>
      <c r="C27" s="4">
        <v>40</v>
      </c>
      <c r="D27" s="4">
        <f t="shared" si="1"/>
        <v>32.5</v>
      </c>
      <c r="E27" s="107">
        <f t="shared" si="4"/>
        <v>1904.7619047619048</v>
      </c>
      <c r="F27" s="107">
        <f t="shared" si="2"/>
        <v>619.04761904761904</v>
      </c>
    </row>
    <row r="28" spans="1:6" x14ac:dyDescent="0.25">
      <c r="A28" s="4">
        <v>5</v>
      </c>
      <c r="B28" s="4">
        <f t="shared" si="3"/>
        <v>40</v>
      </c>
      <c r="C28" s="4">
        <v>55</v>
      </c>
      <c r="D28" s="4">
        <f t="shared" si="1"/>
        <v>47.5</v>
      </c>
      <c r="E28" s="107">
        <f t="shared" si="4"/>
        <v>1904.7619047619048</v>
      </c>
      <c r="F28" s="107">
        <f t="shared" si="2"/>
        <v>904.7619047619047</v>
      </c>
    </row>
    <row r="29" spans="1:6" x14ac:dyDescent="0.25">
      <c r="A29" s="4">
        <v>6</v>
      </c>
      <c r="B29" s="4">
        <f t="shared" si="3"/>
        <v>55</v>
      </c>
      <c r="C29" s="4">
        <v>70</v>
      </c>
      <c r="D29" s="4">
        <f t="shared" si="1"/>
        <v>62.5</v>
      </c>
      <c r="E29" s="107">
        <f t="shared" si="4"/>
        <v>1904.7619047619048</v>
      </c>
      <c r="F29" s="107">
        <f t="shared" si="2"/>
        <v>1190.4761904761906</v>
      </c>
    </row>
    <row r="30" spans="1:6" x14ac:dyDescent="0.25">
      <c r="A30" s="4">
        <v>7</v>
      </c>
      <c r="B30" s="4">
        <f t="shared" si="3"/>
        <v>70</v>
      </c>
      <c r="C30" s="4">
        <v>100</v>
      </c>
      <c r="D30" s="4">
        <f t="shared" si="1"/>
        <v>85</v>
      </c>
      <c r="E30" s="107">
        <f t="shared" si="4"/>
        <v>1904.7619047619048</v>
      </c>
      <c r="F30" s="107">
        <f t="shared" si="2"/>
        <v>1619.0476190476193</v>
      </c>
    </row>
    <row r="31" spans="1:6" x14ac:dyDescent="0.25">
      <c r="A31" s="59"/>
      <c r="B31" s="59"/>
      <c r="C31" s="59"/>
      <c r="D31" s="59"/>
      <c r="E31" s="102" t="s">
        <v>200</v>
      </c>
      <c r="F31" s="107">
        <f>SUM(F24:F30)</f>
        <v>4952.3809523809523</v>
      </c>
    </row>
    <row r="32" spans="1:6" x14ac:dyDescent="0.25">
      <c r="A32" s="59"/>
      <c r="B32" s="59"/>
      <c r="C32" s="59"/>
      <c r="D32" s="59"/>
      <c r="E32" s="59"/>
      <c r="F32" s="59"/>
    </row>
    <row r="33" spans="1:6" x14ac:dyDescent="0.25">
      <c r="A33" s="106" t="s">
        <v>201</v>
      </c>
      <c r="B33" s="59"/>
      <c r="C33" s="59"/>
      <c r="D33" s="59"/>
      <c r="E33" s="59"/>
      <c r="F33" s="59"/>
    </row>
    <row r="34" spans="1:6" x14ac:dyDescent="0.25">
      <c r="A34" s="59"/>
      <c r="B34" s="59"/>
      <c r="C34" s="59"/>
      <c r="D34" s="59"/>
      <c r="E34" s="59"/>
      <c r="F34" s="59"/>
    </row>
    <row r="35" spans="1:6" x14ac:dyDescent="0.25">
      <c r="A35" s="113" t="s">
        <v>202</v>
      </c>
      <c r="B35" s="59"/>
      <c r="C35" s="59"/>
      <c r="D35" s="110">
        <f>(B10 -  F31)</f>
        <v>15047.619047619048</v>
      </c>
      <c r="E35" s="79"/>
      <c r="F35" s="59"/>
    </row>
    <row r="36" spans="1:6" x14ac:dyDescent="0.25">
      <c r="A36" s="59"/>
      <c r="B36" s="59"/>
      <c r="C36" s="59"/>
      <c r="D36" s="59"/>
      <c r="E36" s="79"/>
      <c r="F36" s="59"/>
    </row>
    <row r="37" spans="1:6" x14ac:dyDescent="0.25">
      <c r="A37" s="114" t="s">
        <v>203</v>
      </c>
      <c r="B37" s="59"/>
      <c r="C37" s="59"/>
      <c r="D37" s="92">
        <f>(10.5-7)*C11</f>
        <v>16666.666666666664</v>
      </c>
      <c r="E37" s="79"/>
      <c r="F37" s="59"/>
    </row>
    <row r="38" spans="1:6" ht="15.75" thickBot="1" x14ac:dyDescent="0.3">
      <c r="A38" s="59"/>
      <c r="B38" s="59"/>
      <c r="C38" s="59"/>
      <c r="D38" s="59"/>
      <c r="E38" s="79"/>
      <c r="F38" s="59"/>
    </row>
    <row r="39" spans="1:6" ht="15.75" thickBot="1" x14ac:dyDescent="0.3">
      <c r="A39" s="59" t="s">
        <v>204</v>
      </c>
      <c r="B39" s="59"/>
      <c r="C39" s="59"/>
      <c r="D39" s="115">
        <f>+D37+F31</f>
        <v>21619.047619047618</v>
      </c>
      <c r="E39" s="59"/>
      <c r="F39" s="59"/>
    </row>
    <row r="40" spans="1:6" x14ac:dyDescent="0.25">
      <c r="E40" s="59"/>
      <c r="F40" s="59"/>
    </row>
    <row r="41" spans="1:6" x14ac:dyDescent="0.25">
      <c r="A41" s="59"/>
      <c r="B41" s="59"/>
      <c r="C41" s="59"/>
      <c r="D41" s="59"/>
      <c r="E41" s="108"/>
      <c r="F41" s="59"/>
    </row>
    <row r="42" spans="1:6" x14ac:dyDescent="0.25">
      <c r="A42" s="59" t="s">
        <v>205</v>
      </c>
      <c r="B42" s="59"/>
      <c r="C42" s="59"/>
      <c r="D42" s="59"/>
      <c r="E42" s="59"/>
      <c r="F42" s="59"/>
    </row>
    <row r="43" spans="1:6" x14ac:dyDescent="0.25">
      <c r="A43" s="59"/>
      <c r="B43" s="59"/>
      <c r="C43" s="59"/>
      <c r="D43" s="59"/>
      <c r="E43" s="59"/>
      <c r="F43" s="59"/>
    </row>
    <row r="44" spans="1:6" x14ac:dyDescent="0.25">
      <c r="A44" s="59"/>
      <c r="B44" s="59"/>
      <c r="C44" s="59"/>
      <c r="D44" s="59"/>
      <c r="E44" s="59"/>
      <c r="F44" s="59"/>
    </row>
    <row r="45" spans="1:6" x14ac:dyDescent="0.25">
      <c r="A45" s="4"/>
      <c r="B45" s="4" t="s">
        <v>191</v>
      </c>
      <c r="C45" s="59"/>
      <c r="D45" s="59"/>
      <c r="E45" s="59"/>
      <c r="F45" s="59"/>
    </row>
    <row r="46" spans="1:6" x14ac:dyDescent="0.25">
      <c r="A46" s="4" t="s">
        <v>83</v>
      </c>
      <c r="B46" s="3">
        <f t="shared" ref="B46:B49" si="5">+B11</f>
        <v>50000</v>
      </c>
      <c r="C46" s="111"/>
      <c r="D46" s="111"/>
      <c r="E46" s="111"/>
      <c r="F46" s="59"/>
    </row>
    <row r="47" spans="1:6" x14ac:dyDescent="0.25">
      <c r="A47" s="4" t="s">
        <v>84</v>
      </c>
      <c r="B47" s="3">
        <f t="shared" si="5"/>
        <v>50000</v>
      </c>
      <c r="C47" s="111"/>
      <c r="D47" s="112"/>
      <c r="E47" s="112"/>
      <c r="F47" s="59"/>
    </row>
    <row r="48" spans="1:6" x14ac:dyDescent="0.25">
      <c r="A48" s="4" t="s">
        <v>85</v>
      </c>
      <c r="B48" s="3">
        <f t="shared" si="5"/>
        <v>50000</v>
      </c>
      <c r="C48" s="59"/>
      <c r="D48" s="59"/>
      <c r="E48" s="59"/>
      <c r="F48" s="59"/>
    </row>
    <row r="49" spans="1:6" x14ac:dyDescent="0.25">
      <c r="A49" s="4" t="s">
        <v>86</v>
      </c>
      <c r="B49" s="3">
        <f t="shared" si="5"/>
        <v>50000</v>
      </c>
      <c r="C49" s="59"/>
      <c r="D49" s="59"/>
      <c r="E49" s="59"/>
      <c r="F49" s="59"/>
    </row>
    <row r="50" spans="1:6" x14ac:dyDescent="0.25">
      <c r="A50" s="59"/>
      <c r="B50" s="59"/>
      <c r="C50" s="59"/>
      <c r="D50" s="59"/>
      <c r="E50" s="59"/>
      <c r="F50" s="59"/>
    </row>
    <row r="51" spans="1:6" x14ac:dyDescent="0.25">
      <c r="A51" s="59"/>
      <c r="B51" s="59"/>
      <c r="C51" s="59"/>
      <c r="D51" s="59"/>
      <c r="E51" s="59"/>
      <c r="F51" s="59"/>
    </row>
    <row r="52" spans="1:6" x14ac:dyDescent="0.25">
      <c r="A52" s="59"/>
      <c r="B52" s="59"/>
      <c r="C52" s="59"/>
      <c r="D52" s="59"/>
      <c r="E52" s="59"/>
      <c r="F52" s="59"/>
    </row>
    <row r="53" spans="1:6" x14ac:dyDescent="0.25">
      <c r="A53" s="59"/>
      <c r="B53" s="59"/>
      <c r="C53" s="59"/>
      <c r="D53" s="59"/>
      <c r="E53" s="59"/>
      <c r="F53" s="59"/>
    </row>
    <row r="54" spans="1:6" x14ac:dyDescent="0.25">
      <c r="A54" s="59"/>
      <c r="B54" s="59"/>
      <c r="C54" s="59"/>
      <c r="D54" s="59"/>
      <c r="E54" s="59"/>
      <c r="F54" s="59"/>
    </row>
    <row r="55" spans="1:6" x14ac:dyDescent="0.25">
      <c r="A55" s="59"/>
      <c r="B55" s="59"/>
      <c r="C55" s="59"/>
      <c r="D55" s="59"/>
      <c r="E55" s="59"/>
      <c r="F55" s="59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767D3-512B-43BB-9587-2F3A787CC5A5}">
  <dimension ref="A1:F49"/>
  <sheetViews>
    <sheetView topLeftCell="A21" workbookViewId="0">
      <selection activeCell="D40" sqref="D40"/>
    </sheetView>
  </sheetViews>
  <sheetFormatPr baseColWidth="10" defaultRowHeight="15" x14ac:dyDescent="0.25"/>
  <cols>
    <col min="1" max="1" width="53.28515625" bestFit="1" customWidth="1"/>
    <col min="2" max="2" width="14" bestFit="1" customWidth="1"/>
  </cols>
  <sheetData>
    <row r="1" spans="1:6" x14ac:dyDescent="0.25">
      <c r="A1" s="59"/>
      <c r="B1" s="59"/>
      <c r="C1" s="59"/>
      <c r="D1" s="59"/>
      <c r="E1" s="79"/>
      <c r="F1" s="79"/>
    </row>
    <row r="2" spans="1:6" ht="18.75" x14ac:dyDescent="0.3">
      <c r="A2" s="269" t="s">
        <v>206</v>
      </c>
      <c r="B2" s="270"/>
      <c r="C2" s="270"/>
      <c r="D2" s="270"/>
      <c r="E2" s="270"/>
      <c r="F2" s="270"/>
    </row>
    <row r="3" spans="1:6" x14ac:dyDescent="0.25">
      <c r="A3" s="59"/>
      <c r="B3" s="59"/>
      <c r="C3" s="59"/>
      <c r="D3" s="59"/>
      <c r="E3" s="79"/>
      <c r="F3" s="79"/>
    </row>
    <row r="4" spans="1:6" x14ac:dyDescent="0.25">
      <c r="A4" s="1" t="s">
        <v>207</v>
      </c>
      <c r="B4" s="116">
        <v>2</v>
      </c>
      <c r="C4" s="111"/>
      <c r="D4" s="111"/>
      <c r="E4" s="111"/>
      <c r="F4" s="111"/>
    </row>
    <row r="5" spans="1:6" x14ac:dyDescent="0.25">
      <c r="A5" s="1" t="s">
        <v>208</v>
      </c>
      <c r="B5" s="116">
        <v>0</v>
      </c>
      <c r="C5" s="59"/>
      <c r="D5" s="59"/>
      <c r="E5" s="79"/>
      <c r="F5" s="79"/>
    </row>
    <row r="6" spans="1:6" x14ac:dyDescent="0.25">
      <c r="A6" s="59"/>
      <c r="B6" s="59"/>
      <c r="C6" s="59"/>
      <c r="D6" s="59"/>
      <c r="E6" s="79"/>
      <c r="F6" s="79"/>
    </row>
    <row r="7" spans="1:6" x14ac:dyDescent="0.25">
      <c r="A7" s="106" t="s">
        <v>209</v>
      </c>
      <c r="B7" s="59"/>
      <c r="C7" s="59"/>
      <c r="D7" s="59"/>
      <c r="E7" s="79"/>
      <c r="F7" s="79"/>
    </row>
    <row r="8" spans="1:6" x14ac:dyDescent="0.25">
      <c r="A8" s="59"/>
      <c r="B8" s="59"/>
      <c r="C8" s="59"/>
      <c r="D8" s="59"/>
      <c r="E8" s="79"/>
      <c r="F8" s="79"/>
    </row>
    <row r="9" spans="1:6" x14ac:dyDescent="0.25">
      <c r="A9" s="59" t="s">
        <v>210</v>
      </c>
      <c r="B9" s="59">
        <v>52</v>
      </c>
      <c r="C9" s="59"/>
      <c r="D9" s="59"/>
      <c r="E9" s="79"/>
      <c r="F9" s="79"/>
    </row>
    <row r="10" spans="1:6" x14ac:dyDescent="0.25">
      <c r="A10" s="59" t="s">
        <v>211</v>
      </c>
      <c r="B10" s="59">
        <v>6</v>
      </c>
      <c r="C10" s="59"/>
      <c r="D10" s="59"/>
      <c r="E10" s="79"/>
      <c r="F10" s="79"/>
    </row>
    <row r="11" spans="1:6" x14ac:dyDescent="0.25">
      <c r="A11" s="59" t="s">
        <v>212</v>
      </c>
      <c r="B11" s="117">
        <f>B9-B10</f>
        <v>46</v>
      </c>
      <c r="C11" s="59"/>
      <c r="D11" s="59"/>
      <c r="E11" s="79"/>
      <c r="F11" s="79"/>
    </row>
    <row r="12" spans="1:6" x14ac:dyDescent="0.25">
      <c r="A12" s="59"/>
      <c r="B12" s="59"/>
      <c r="C12" s="59"/>
      <c r="D12" s="59"/>
      <c r="E12" s="79"/>
      <c r="F12" s="79"/>
    </row>
    <row r="13" spans="1:6" x14ac:dyDescent="0.25">
      <c r="A13" s="59" t="s">
        <v>213</v>
      </c>
      <c r="B13" s="59"/>
      <c r="C13" s="59"/>
      <c r="D13" s="59"/>
      <c r="E13" s="79"/>
      <c r="F13" s="79"/>
    </row>
    <row r="14" spans="1:6" x14ac:dyDescent="0.25">
      <c r="A14" s="59"/>
      <c r="B14" s="59"/>
      <c r="C14" s="59"/>
      <c r="D14" s="59"/>
      <c r="E14" s="79"/>
      <c r="F14" s="79"/>
    </row>
    <row r="15" spans="1:6" ht="60" x14ac:dyDescent="0.25">
      <c r="A15" s="4"/>
      <c r="B15" s="4" t="s">
        <v>191</v>
      </c>
      <c r="C15" s="93" t="s">
        <v>214</v>
      </c>
      <c r="D15" s="93" t="s">
        <v>215</v>
      </c>
      <c r="E15" s="79"/>
      <c r="F15" s="79"/>
    </row>
    <row r="16" spans="1:6" x14ac:dyDescent="0.25">
      <c r="A16" s="4" t="s">
        <v>82</v>
      </c>
      <c r="B16" s="3">
        <v>20000</v>
      </c>
      <c r="C16" s="2">
        <f>B16/B$11</f>
        <v>434.78260869565219</v>
      </c>
      <c r="D16" s="95">
        <f>C16/7</f>
        <v>62.111801242236027</v>
      </c>
      <c r="E16" s="79"/>
      <c r="F16" s="79"/>
    </row>
    <row r="17" spans="1:6" x14ac:dyDescent="0.25">
      <c r="A17" s="4" t="s">
        <v>83</v>
      </c>
      <c r="B17" s="3">
        <v>50000</v>
      </c>
      <c r="C17" s="2">
        <f>B17/B$11</f>
        <v>1086.9565217391305</v>
      </c>
      <c r="D17" s="95">
        <f>C17/7</f>
        <v>155.27950310559007</v>
      </c>
      <c r="E17" s="79"/>
      <c r="F17" s="79"/>
    </row>
    <row r="18" spans="1:6" x14ac:dyDescent="0.25">
      <c r="A18" s="4" t="s">
        <v>84</v>
      </c>
      <c r="B18" s="3">
        <v>50000</v>
      </c>
      <c r="C18" s="2">
        <f>B18/B$11</f>
        <v>1086.9565217391305</v>
      </c>
      <c r="D18" s="95">
        <f>C18/7</f>
        <v>155.27950310559007</v>
      </c>
      <c r="E18" s="79"/>
      <c r="F18" s="79"/>
    </row>
    <row r="19" spans="1:6" x14ac:dyDescent="0.25">
      <c r="A19" s="4" t="s">
        <v>85</v>
      </c>
      <c r="B19" s="3">
        <v>50000</v>
      </c>
      <c r="C19" s="2">
        <f>B19/B$11</f>
        <v>1086.9565217391305</v>
      </c>
      <c r="D19" s="95">
        <f>C19/7</f>
        <v>155.27950310559007</v>
      </c>
      <c r="E19" s="79"/>
      <c r="F19" s="79"/>
    </row>
    <row r="20" spans="1:6" x14ac:dyDescent="0.25">
      <c r="A20" s="4" t="s">
        <v>86</v>
      </c>
      <c r="B20" s="3">
        <v>50000</v>
      </c>
      <c r="C20" s="2">
        <f>B20/B$11</f>
        <v>1086.9565217391305</v>
      </c>
      <c r="D20" s="95">
        <f>C20/7</f>
        <v>155.27950310559007</v>
      </c>
      <c r="E20" s="79"/>
      <c r="F20" s="79"/>
    </row>
    <row r="21" spans="1:6" x14ac:dyDescent="0.25">
      <c r="A21" s="59"/>
      <c r="B21" s="59"/>
      <c r="C21" s="59"/>
      <c r="D21" s="59"/>
      <c r="E21" s="79"/>
      <c r="F21" s="79"/>
    </row>
    <row r="22" spans="1:6" x14ac:dyDescent="0.25">
      <c r="A22" s="271" t="s">
        <v>216</v>
      </c>
      <c r="B22" s="272">
        <f>+((C26-C25)/2)</f>
        <v>1250</v>
      </c>
      <c r="C22" s="273" t="s">
        <v>217</v>
      </c>
      <c r="D22" s="111"/>
      <c r="E22" s="111"/>
      <c r="F22" s="111"/>
    </row>
    <row r="23" spans="1:6" x14ac:dyDescent="0.25">
      <c r="A23" s="270"/>
      <c r="B23" s="270"/>
      <c r="C23" s="270"/>
      <c r="D23" s="112"/>
      <c r="E23" s="111"/>
      <c r="F23" s="111"/>
    </row>
    <row r="24" spans="1:6" x14ac:dyDescent="0.25">
      <c r="A24" s="59"/>
      <c r="B24" s="59"/>
      <c r="C24" s="59"/>
      <c r="D24" s="59"/>
      <c r="E24" s="79"/>
      <c r="F24" s="79"/>
    </row>
    <row r="25" spans="1:6" x14ac:dyDescent="0.25">
      <c r="A25" s="59"/>
      <c r="B25" s="90" t="s">
        <v>218</v>
      </c>
      <c r="C25" s="59">
        <v>0</v>
      </c>
      <c r="D25" s="59"/>
      <c r="E25" s="79"/>
      <c r="F25" s="79"/>
    </row>
    <row r="26" spans="1:6" x14ac:dyDescent="0.25">
      <c r="A26" s="59"/>
      <c r="B26" s="90" t="s">
        <v>219</v>
      </c>
      <c r="C26" s="59">
        <v>2500</v>
      </c>
      <c r="D26" s="59"/>
      <c r="E26" s="79"/>
      <c r="F26" s="79"/>
    </row>
    <row r="27" spans="1:6" x14ac:dyDescent="0.25">
      <c r="A27" s="59"/>
      <c r="B27" s="59"/>
      <c r="C27" s="59"/>
      <c r="D27" s="59"/>
      <c r="E27" s="79"/>
      <c r="F27" s="79"/>
    </row>
    <row r="28" spans="1:6" x14ac:dyDescent="0.25">
      <c r="A28" s="59"/>
      <c r="B28" s="59"/>
      <c r="C28" s="59"/>
      <c r="D28" s="59"/>
      <c r="E28" s="79"/>
      <c r="F28" s="79"/>
    </row>
    <row r="29" spans="1:6" x14ac:dyDescent="0.25">
      <c r="A29" s="59"/>
      <c r="B29" s="59"/>
      <c r="C29" s="59"/>
      <c r="D29" s="59"/>
      <c r="E29" s="79"/>
      <c r="F29" s="79"/>
    </row>
    <row r="30" spans="1:6" ht="15" customHeight="1" x14ac:dyDescent="0.25">
      <c r="A30" s="120"/>
      <c r="B30" s="121" t="s">
        <v>220</v>
      </c>
      <c r="C30" s="118"/>
      <c r="D30" s="111"/>
      <c r="E30" s="79"/>
      <c r="F30" s="79"/>
    </row>
    <row r="31" spans="1:6" x14ac:dyDescent="0.25">
      <c r="A31" s="120" t="s">
        <v>82</v>
      </c>
      <c r="B31" s="122">
        <f>+$B$22</f>
        <v>1250</v>
      </c>
      <c r="C31" s="119"/>
      <c r="D31" s="111"/>
      <c r="E31" s="79"/>
      <c r="F31" s="79"/>
    </row>
    <row r="32" spans="1:6" x14ac:dyDescent="0.25">
      <c r="A32" s="120" t="s">
        <v>83</v>
      </c>
      <c r="B32" s="122">
        <f t="shared" ref="B32:B35" si="0">+$B$22</f>
        <v>1250</v>
      </c>
      <c r="C32" s="119"/>
      <c r="D32" s="59"/>
      <c r="E32" s="79"/>
      <c r="F32" s="79"/>
    </row>
    <row r="33" spans="1:6" x14ac:dyDescent="0.25">
      <c r="A33" s="120" t="s">
        <v>84</v>
      </c>
      <c r="B33" s="122">
        <f t="shared" si="0"/>
        <v>1250</v>
      </c>
      <c r="C33" s="119"/>
      <c r="D33" s="59"/>
      <c r="E33" s="79"/>
      <c r="F33" s="79"/>
    </row>
    <row r="34" spans="1:6" x14ac:dyDescent="0.25">
      <c r="A34" s="120" t="s">
        <v>85</v>
      </c>
      <c r="B34" s="122">
        <f t="shared" si="0"/>
        <v>1250</v>
      </c>
      <c r="C34" s="119"/>
      <c r="D34" s="59"/>
      <c r="E34" s="79"/>
      <c r="F34" s="79"/>
    </row>
    <row r="35" spans="1:6" x14ac:dyDescent="0.25">
      <c r="A35" s="120" t="s">
        <v>86</v>
      </c>
      <c r="B35" s="122">
        <f t="shared" si="0"/>
        <v>1250</v>
      </c>
      <c r="C35" s="119"/>
      <c r="D35" s="59"/>
      <c r="E35" s="79"/>
      <c r="F35" s="79"/>
    </row>
    <row r="36" spans="1:6" x14ac:dyDescent="0.25">
      <c r="A36" s="59"/>
      <c r="B36" s="59"/>
      <c r="C36" s="59"/>
      <c r="D36" s="59"/>
      <c r="E36" s="79"/>
      <c r="F36" s="79"/>
    </row>
    <row r="37" spans="1:6" x14ac:dyDescent="0.25">
      <c r="A37" s="59"/>
      <c r="B37" s="59"/>
      <c r="C37" s="59"/>
      <c r="D37" s="59"/>
      <c r="E37" s="79"/>
      <c r="F37" s="79"/>
    </row>
    <row r="38" spans="1:6" x14ac:dyDescent="0.25">
      <c r="A38" s="59"/>
      <c r="B38" s="59"/>
      <c r="C38" s="59"/>
      <c r="D38" s="59"/>
      <c r="E38" s="79"/>
      <c r="F38" s="79"/>
    </row>
    <row r="39" spans="1:6" x14ac:dyDescent="0.25">
      <c r="A39" s="59"/>
      <c r="B39" s="59"/>
      <c r="C39" s="59"/>
      <c r="D39" s="59"/>
      <c r="E39" s="79"/>
      <c r="F39" s="79"/>
    </row>
    <row r="40" spans="1:6" x14ac:dyDescent="0.25">
      <c r="A40" s="59"/>
      <c r="B40" s="59"/>
      <c r="C40" s="59"/>
      <c r="D40" s="59"/>
      <c r="E40" s="79"/>
      <c r="F40" s="79"/>
    </row>
    <row r="41" spans="1:6" x14ac:dyDescent="0.25">
      <c r="A41" s="59"/>
      <c r="B41" s="59"/>
      <c r="C41" s="59"/>
      <c r="D41" s="59"/>
      <c r="E41" s="79"/>
      <c r="F41" s="79"/>
    </row>
    <row r="42" spans="1:6" x14ac:dyDescent="0.25">
      <c r="A42" s="59"/>
      <c r="B42" s="59"/>
      <c r="C42" s="59"/>
      <c r="D42" s="59"/>
      <c r="E42" s="79"/>
      <c r="F42" s="79"/>
    </row>
    <row r="43" spans="1:6" x14ac:dyDescent="0.25">
      <c r="A43" s="59"/>
      <c r="B43" s="59"/>
      <c r="C43" s="59"/>
      <c r="D43" s="59"/>
      <c r="E43" s="79"/>
      <c r="F43" s="79"/>
    </row>
    <row r="44" spans="1:6" x14ac:dyDescent="0.25">
      <c r="A44" s="59"/>
      <c r="B44" s="59"/>
      <c r="C44" s="59"/>
      <c r="D44" s="59"/>
      <c r="E44" s="79"/>
      <c r="F44" s="79"/>
    </row>
    <row r="45" spans="1:6" x14ac:dyDescent="0.25">
      <c r="A45" s="59"/>
      <c r="B45" s="59"/>
      <c r="C45" s="59"/>
      <c r="D45" s="59"/>
      <c r="E45" s="79"/>
      <c r="F45" s="79"/>
    </row>
    <row r="46" spans="1:6" x14ac:dyDescent="0.25">
      <c r="A46" s="59"/>
      <c r="B46" s="59"/>
      <c r="C46" s="59"/>
      <c r="D46" s="59"/>
      <c r="E46" s="79"/>
      <c r="F46" s="79"/>
    </row>
    <row r="47" spans="1:6" x14ac:dyDescent="0.25">
      <c r="A47" s="59"/>
      <c r="B47" s="59"/>
      <c r="C47" s="59"/>
      <c r="D47" s="59"/>
      <c r="E47" s="79"/>
      <c r="F47" s="79"/>
    </row>
    <row r="48" spans="1:6" x14ac:dyDescent="0.25">
      <c r="A48" s="59"/>
      <c r="B48" s="59"/>
      <c r="C48" s="59"/>
      <c r="D48" s="59"/>
      <c r="E48" s="79"/>
      <c r="F48" s="79"/>
    </row>
    <row r="49" spans="1:6" x14ac:dyDescent="0.25">
      <c r="A49" s="59"/>
      <c r="B49" s="59"/>
      <c r="C49" s="59"/>
      <c r="D49" s="59"/>
      <c r="E49" s="79"/>
      <c r="F49" s="79"/>
    </row>
  </sheetData>
  <mergeCells count="4">
    <mergeCell ref="A2:F2"/>
    <mergeCell ref="A22:A23"/>
    <mergeCell ref="B22:B23"/>
    <mergeCell ref="C22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6723-B3AD-4561-A10A-F27F762ADD1D}">
  <dimension ref="A2:F11"/>
  <sheetViews>
    <sheetView workbookViewId="0">
      <selection activeCell="A11" sqref="A11:D11"/>
    </sheetView>
  </sheetViews>
  <sheetFormatPr baseColWidth="10" defaultRowHeight="15" x14ac:dyDescent="0.25"/>
  <cols>
    <col min="4" max="4" width="12.140625" customWidth="1"/>
  </cols>
  <sheetData>
    <row r="2" spans="1:6" x14ac:dyDescent="0.25">
      <c r="A2" t="s">
        <v>222</v>
      </c>
    </row>
    <row r="3" spans="1:6" x14ac:dyDescent="0.25">
      <c r="A3" t="s">
        <v>82</v>
      </c>
    </row>
    <row r="4" spans="1:6" x14ac:dyDescent="0.25">
      <c r="B4" s="274" t="s">
        <v>223</v>
      </c>
      <c r="C4" s="274"/>
      <c r="D4" s="274"/>
      <c r="E4" s="123">
        <f>+'Ejercicio 6'!D39</f>
        <v>21619.047619047618</v>
      </c>
      <c r="F4" t="s">
        <v>97</v>
      </c>
    </row>
    <row r="5" spans="1:6" x14ac:dyDescent="0.25">
      <c r="B5" s="275" t="s">
        <v>224</v>
      </c>
      <c r="C5" s="275"/>
      <c r="D5" s="275"/>
      <c r="E5" s="124">
        <f>+'Ejercicio 7'!B31</f>
        <v>1250</v>
      </c>
      <c r="F5" s="77" t="s">
        <v>97</v>
      </c>
    </row>
    <row r="6" spans="1:6" x14ac:dyDescent="0.25">
      <c r="B6" s="274" t="s">
        <v>225</v>
      </c>
      <c r="C6" s="274"/>
      <c r="D6" s="274"/>
      <c r="E6" s="123">
        <f>+E4-E5</f>
        <v>20369.047619047618</v>
      </c>
      <c r="F6" t="s">
        <v>97</v>
      </c>
    </row>
    <row r="8" spans="1:6" x14ac:dyDescent="0.25">
      <c r="B8" s="276" t="s">
        <v>226</v>
      </c>
      <c r="C8" s="276"/>
      <c r="D8" s="276"/>
      <c r="E8" s="44">
        <f>+'Ejercicio 1'!B41</f>
        <v>20000</v>
      </c>
      <c r="F8" t="s">
        <v>228</v>
      </c>
    </row>
    <row r="9" spans="1:6" x14ac:dyDescent="0.25">
      <c r="B9" t="s">
        <v>229</v>
      </c>
      <c r="C9" s="15"/>
      <c r="D9" s="15"/>
      <c r="E9" s="44"/>
    </row>
    <row r="10" spans="1:6" x14ac:dyDescent="0.25">
      <c r="A10" t="s">
        <v>316</v>
      </c>
    </row>
    <row r="11" spans="1:6" x14ac:dyDescent="0.25">
      <c r="A11" s="276" t="s">
        <v>227</v>
      </c>
      <c r="B11" s="276"/>
      <c r="C11" s="276"/>
      <c r="D11" s="276"/>
      <c r="E11" s="44">
        <f>+'Ejercicio 1'!B42</f>
        <v>50000</v>
      </c>
      <c r="F11" t="s">
        <v>97</v>
      </c>
    </row>
  </sheetData>
  <mergeCells count="5">
    <mergeCell ref="B4:D4"/>
    <mergeCell ref="B5:D5"/>
    <mergeCell ref="B6:D6"/>
    <mergeCell ref="B8:D8"/>
    <mergeCell ref="A11:D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20A1-B35E-4E20-B885-AE14A855C9C3}">
  <dimension ref="A2:K56"/>
  <sheetViews>
    <sheetView topLeftCell="A44" workbookViewId="0">
      <selection activeCell="L55" sqref="L55"/>
    </sheetView>
  </sheetViews>
  <sheetFormatPr baseColWidth="10" defaultRowHeight="15" x14ac:dyDescent="0.25"/>
  <cols>
    <col min="1" max="1" width="12" customWidth="1"/>
  </cols>
  <sheetData>
    <row r="2" spans="1:11" x14ac:dyDescent="0.25">
      <c r="A2" t="s">
        <v>230</v>
      </c>
      <c r="D2">
        <v>3</v>
      </c>
      <c r="E2" t="s">
        <v>231</v>
      </c>
    </row>
    <row r="4" spans="1:11" x14ac:dyDescent="0.25">
      <c r="A4" t="s">
        <v>232</v>
      </c>
      <c r="D4">
        <f>+ROUNDUP((SUM('Ejercicio 3'!F28:F34)/(365*24))/8,0)</f>
        <v>9</v>
      </c>
      <c r="E4" t="s">
        <v>233</v>
      </c>
    </row>
    <row r="6" spans="1:11" x14ac:dyDescent="0.25">
      <c r="A6" t="s">
        <v>234</v>
      </c>
      <c r="B6" s="123">
        <f>+ROUNDDOWN('Ejercicio 2'!C12/'Ejercicio 9'!D4,0)</f>
        <v>25</v>
      </c>
      <c r="C6" t="s">
        <v>235</v>
      </c>
    </row>
    <row r="8" spans="1:11" ht="15.75" thickBot="1" x14ac:dyDescent="0.3"/>
    <row r="9" spans="1:11" ht="15.75" thickBot="1" x14ac:dyDescent="0.3">
      <c r="A9" s="144" t="s">
        <v>241</v>
      </c>
      <c r="B9" s="286" t="s">
        <v>82</v>
      </c>
      <c r="C9" s="287"/>
      <c r="D9" s="287"/>
      <c r="E9" s="288"/>
      <c r="F9" s="277" t="s">
        <v>83</v>
      </c>
      <c r="G9" s="277" t="s">
        <v>84</v>
      </c>
      <c r="H9" s="277" t="s">
        <v>85</v>
      </c>
      <c r="I9" s="277" t="s">
        <v>86</v>
      </c>
      <c r="J9" s="277" t="s">
        <v>87</v>
      </c>
      <c r="K9" s="277" t="s">
        <v>88</v>
      </c>
    </row>
    <row r="10" spans="1:11" s="58" customFormat="1" ht="15.75" thickBot="1" x14ac:dyDescent="0.3">
      <c r="A10" s="151"/>
      <c r="B10" s="280" t="s">
        <v>244</v>
      </c>
      <c r="C10" s="281"/>
      <c r="D10" s="282" t="s">
        <v>245</v>
      </c>
      <c r="E10" s="284" t="s">
        <v>240</v>
      </c>
      <c r="F10" s="278"/>
      <c r="G10" s="278"/>
      <c r="H10" s="278"/>
      <c r="I10" s="278"/>
      <c r="J10" s="278"/>
      <c r="K10" s="278"/>
    </row>
    <row r="11" spans="1:11" ht="30.75" thickBot="1" x14ac:dyDescent="0.3">
      <c r="A11" s="136" t="s">
        <v>238</v>
      </c>
      <c r="B11" s="153" t="s">
        <v>236</v>
      </c>
      <c r="C11" s="154" t="s">
        <v>237</v>
      </c>
      <c r="D11" s="283"/>
      <c r="E11" s="285"/>
      <c r="F11" s="279"/>
      <c r="G11" s="279"/>
      <c r="H11" s="279"/>
      <c r="I11" s="279"/>
      <c r="J11" s="279"/>
      <c r="K11" s="279"/>
    </row>
    <row r="12" spans="1:11" x14ac:dyDescent="0.25">
      <c r="A12" s="141" t="s">
        <v>3</v>
      </c>
      <c r="B12" s="131">
        <f>+'Ejercicio 6'!$F$31*(1+VLOOKUP(A12,'Ejercicio 1'!$M$40:$R$80,6,FALSE)*$D$2)</f>
        <v>5401.0666666666666</v>
      </c>
      <c r="C12" s="147">
        <f>'Ejercicio 6'!$D$37*(1+VLOOKUP(A12,'Ejercicio 1'!$M$40:$R$80,6,FALSE))</f>
        <v>17169.999999999996</v>
      </c>
      <c r="D12" s="138">
        <f>+VLOOKUP(A12,'Ejercicio 1'!$M$40:$R$80,2,FALSE)*'Ejercicio 9'!$D$4/'Ejercicio 2'!$C$12</f>
        <v>2015.608695652174</v>
      </c>
      <c r="E12" s="138">
        <f>+C12+B12+D12</f>
        <v>24586.675362318834</v>
      </c>
      <c r="F12" s="138">
        <f>'Ejercicio 6'!$B$46*(1+VLOOKUP(A12,'Ejercicio 1'!$M$40:$R$80,6,FALSE))</f>
        <v>51510</v>
      </c>
      <c r="G12" s="138">
        <f>'Ejercicio 6'!$B$47*(1+VLOOKUP(A12,'Ejercicio 1'!$M$40:$R$80,6,FALSE))</f>
        <v>51510</v>
      </c>
      <c r="H12" s="138">
        <f>'Ejercicio 6'!$B$48*(1+VLOOKUP(A12,'Ejercicio 1'!$M$40:$R$80,6,FALSE))</f>
        <v>51510</v>
      </c>
      <c r="I12" s="138">
        <f>'Ejercicio 6'!$B$49*(1+VLOOKUP(A12,'Ejercicio 1'!$M$40:$R$80,6,FALSE))</f>
        <v>51510</v>
      </c>
      <c r="J12" s="138" t="e">
        <f>'Ejercicio 6'!#REF!*(1+VLOOKUP(A12,'Ejercicio 1'!$M$40:$R$80,6,FALSE))</f>
        <v>#REF!</v>
      </c>
      <c r="K12" s="145" t="e">
        <f>'Ejercicio 6'!#REF!*(1+VLOOKUP(A12,'Ejercicio 1'!$M$40:$R$80,6,FALSE))</f>
        <v>#REF!</v>
      </c>
    </row>
    <row r="13" spans="1:11" x14ac:dyDescent="0.25">
      <c r="A13" s="142" t="s">
        <v>6</v>
      </c>
      <c r="B13" s="131">
        <f>+'Ejercicio 6'!$F$31*(1+VLOOKUP(A13,'Ejercicio 1'!$M$40:$R$80,6,FALSE)*$D$2)</f>
        <v>5100.9523809523807</v>
      </c>
      <c r="C13" s="131">
        <f>'Ejercicio 6'!$D$37*(1+VLOOKUP(A13,'Ejercicio 1'!$M$40:$R$80,6,FALSE))</f>
        <v>16833.333333333332</v>
      </c>
      <c r="D13" s="139">
        <f>+VLOOKUP(A13,'Ejercicio 1'!$M$40:$R$80,2,FALSE)*'Ejercicio 9'!$D$4/'Ejercicio 2'!$C$12</f>
        <v>1976.0869565217392</v>
      </c>
      <c r="E13" s="139">
        <f t="shared" ref="E13:E51" si="0">+C13+B13+D13</f>
        <v>23910.372670807454</v>
      </c>
      <c r="F13" s="139">
        <f>'Ejercicio 6'!$B$46*(1+VLOOKUP(A13,'Ejercicio 1'!$M$40:$R$80,6,FALSE))</f>
        <v>50500</v>
      </c>
      <c r="G13" s="139">
        <f>'Ejercicio 6'!$B$47*(1+VLOOKUP(A13,'Ejercicio 1'!$M$40:$R$80,6,FALSE))</f>
        <v>50500</v>
      </c>
      <c r="H13" s="139">
        <f>'Ejercicio 6'!$B$48*(1+VLOOKUP(A13,'Ejercicio 1'!$M$40:$R$80,6,FALSE))</f>
        <v>50500</v>
      </c>
      <c r="I13" s="139">
        <f>'Ejercicio 6'!$B$49*(1+VLOOKUP(A13,'Ejercicio 1'!$M$40:$R$80,6,FALSE))</f>
        <v>50500</v>
      </c>
      <c r="J13" s="139" t="e">
        <f>'Ejercicio 6'!#REF!*(1+VLOOKUP(A13,'Ejercicio 1'!$M$40:$R$80,6,FALSE))</f>
        <v>#REF!</v>
      </c>
      <c r="K13" s="145" t="e">
        <f>'Ejercicio 6'!#REF!*(1+VLOOKUP(A13,'Ejercicio 1'!$M$40:$R$80,6,FALSE))</f>
        <v>#REF!</v>
      </c>
    </row>
    <row r="14" spans="1:11" ht="30" x14ac:dyDescent="0.25">
      <c r="A14" s="142" t="s">
        <v>34</v>
      </c>
      <c r="B14" s="131">
        <f>+'Ejercicio 6'!$F$31*(1+VLOOKUP(A14,'Ejercicio 1'!$M$40:$R$80,6,FALSE)*$D$2)</f>
        <v>5249.5238095238101</v>
      </c>
      <c r="C14" s="131">
        <f>'Ejercicio 6'!$D$37*(1+VLOOKUP(A14,'Ejercicio 1'!$M$40:$R$80,6,FALSE))</f>
        <v>16999.999999999996</v>
      </c>
      <c r="D14" s="139">
        <f>+VLOOKUP(A14,'Ejercicio 1'!$M$40:$R$80,2,FALSE)*'Ejercicio 9'!$D$4/'Ejercicio 2'!$C$12</f>
        <v>1995.6521739130435</v>
      </c>
      <c r="E14" s="139">
        <f t="shared" si="0"/>
        <v>24245.175983436849</v>
      </c>
      <c r="F14" s="139">
        <f>'Ejercicio 6'!$B$46*(1+VLOOKUP(A14,'Ejercicio 1'!$M$40:$R$80,6,FALSE))</f>
        <v>51000</v>
      </c>
      <c r="G14" s="139">
        <f>'Ejercicio 6'!$B$47*(1+VLOOKUP(A14,'Ejercicio 1'!$M$40:$R$80,6,FALSE))</f>
        <v>51000</v>
      </c>
      <c r="H14" s="139">
        <f>'Ejercicio 6'!$B$48*(1+VLOOKUP(A14,'Ejercicio 1'!$M$40:$R$80,6,FALSE))</f>
        <v>51000</v>
      </c>
      <c r="I14" s="139">
        <f>'Ejercicio 6'!$B$49*(1+VLOOKUP(A14,'Ejercicio 1'!$M$40:$R$80,6,FALSE))</f>
        <v>51000</v>
      </c>
      <c r="J14" s="139" t="e">
        <f>'Ejercicio 6'!#REF!*(1+VLOOKUP(A14,'Ejercicio 1'!$M$40:$R$80,6,FALSE))</f>
        <v>#REF!</v>
      </c>
      <c r="K14" s="145" t="e">
        <f>'Ejercicio 6'!#REF!*(1+VLOOKUP(A14,'Ejercicio 1'!$M$40:$R$80,6,FALSE))</f>
        <v>#REF!</v>
      </c>
    </row>
    <row r="15" spans="1:11" x14ac:dyDescent="0.25">
      <c r="A15" s="142" t="s">
        <v>0</v>
      </c>
      <c r="B15" s="131">
        <f>+'Ejercicio 6'!$F$31*(1+VLOOKUP(A15,'Ejercicio 1'!$M$40:$R$80,6,FALSE)*$D$2)</f>
        <v>5249.5238095238101</v>
      </c>
      <c r="C15" s="131">
        <f>'Ejercicio 6'!$D$37*(1+VLOOKUP(A15,'Ejercicio 1'!$M$40:$R$80,6,FALSE))</f>
        <v>16999.999999999996</v>
      </c>
      <c r="D15" s="139">
        <f>+VLOOKUP(A15,'Ejercicio 1'!$M$40:$R$80,2,FALSE)*'Ejercicio 9'!$D$4/'Ejercicio 2'!$C$12</f>
        <v>2015.2173913043478</v>
      </c>
      <c r="E15" s="139">
        <f t="shared" si="0"/>
        <v>24264.741200828154</v>
      </c>
      <c r="F15" s="139">
        <f>'Ejercicio 6'!$B$46*(1+VLOOKUP(A15,'Ejercicio 1'!$M$40:$R$80,6,FALSE))</f>
        <v>51000</v>
      </c>
      <c r="G15" s="139">
        <f>'Ejercicio 6'!$B$47*(1+VLOOKUP(A15,'Ejercicio 1'!$M$40:$R$80,6,FALSE))</f>
        <v>51000</v>
      </c>
      <c r="H15" s="139">
        <f>'Ejercicio 6'!$B$48*(1+VLOOKUP(A15,'Ejercicio 1'!$M$40:$R$80,6,FALSE))</f>
        <v>51000</v>
      </c>
      <c r="I15" s="139">
        <f>'Ejercicio 6'!$B$49*(1+VLOOKUP(A15,'Ejercicio 1'!$M$40:$R$80,6,FALSE))</f>
        <v>51000</v>
      </c>
      <c r="J15" s="139" t="e">
        <f>'Ejercicio 6'!#REF!*(1+VLOOKUP(A15,'Ejercicio 1'!$M$40:$R$80,6,FALSE))</f>
        <v>#REF!</v>
      </c>
      <c r="K15" s="145" t="e">
        <f>'Ejercicio 6'!#REF!*(1+VLOOKUP(A15,'Ejercicio 1'!$M$40:$R$80,6,FALSE))</f>
        <v>#REF!</v>
      </c>
    </row>
    <row r="16" spans="1:11" x14ac:dyDescent="0.25">
      <c r="A16" s="142" t="s">
        <v>35</v>
      </c>
      <c r="B16" s="131">
        <f>+'Ejercicio 6'!$F$31*(1+VLOOKUP(A16,'Ejercicio 1'!$M$40:$R$80,6,FALSE)*$D$2)</f>
        <v>5100.9523809523807</v>
      </c>
      <c r="C16" s="131">
        <f>'Ejercicio 6'!$D$37*(1+VLOOKUP(A16,'Ejercicio 1'!$M$40:$R$80,6,FALSE))</f>
        <v>16833.333333333332</v>
      </c>
      <c r="D16" s="139">
        <f>+VLOOKUP(A16,'Ejercicio 1'!$M$40:$R$80,2,FALSE)*'Ejercicio 9'!$D$4/'Ejercicio 2'!$C$12</f>
        <v>1976.0869565217392</v>
      </c>
      <c r="E16" s="139">
        <f t="shared" si="0"/>
        <v>23910.372670807454</v>
      </c>
      <c r="F16" s="139">
        <f>'Ejercicio 6'!$B$46*(1+VLOOKUP(A16,'Ejercicio 1'!$M$40:$R$80,6,FALSE))</f>
        <v>50500</v>
      </c>
      <c r="G16" s="139">
        <f>'Ejercicio 6'!$B$47*(1+VLOOKUP(A16,'Ejercicio 1'!$M$40:$R$80,6,FALSE))</f>
        <v>50500</v>
      </c>
      <c r="H16" s="139">
        <f>'Ejercicio 6'!$B$48*(1+VLOOKUP(A16,'Ejercicio 1'!$M$40:$R$80,6,FALSE))</f>
        <v>50500</v>
      </c>
      <c r="I16" s="139">
        <f>'Ejercicio 6'!$B$49*(1+VLOOKUP(A16,'Ejercicio 1'!$M$40:$R$80,6,FALSE))</f>
        <v>50500</v>
      </c>
      <c r="J16" s="139" t="e">
        <f>'Ejercicio 6'!#REF!*(1+VLOOKUP(A16,'Ejercicio 1'!$M$40:$R$80,6,FALSE))</f>
        <v>#REF!</v>
      </c>
      <c r="K16" s="145" t="e">
        <f>'Ejercicio 6'!#REF!*(1+VLOOKUP(A16,'Ejercicio 1'!$M$40:$R$80,6,FALSE))</f>
        <v>#REF!</v>
      </c>
    </row>
    <row r="17" spans="1:11" ht="45" x14ac:dyDescent="0.25">
      <c r="A17" s="142" t="s">
        <v>42</v>
      </c>
      <c r="B17" s="131">
        <f>+'Ejercicio 6'!$F$31*(1+VLOOKUP(A17,'Ejercicio 1'!$M$40:$R$80,6,FALSE)*$D$2)</f>
        <v>5474.609523809524</v>
      </c>
      <c r="C17" s="131">
        <f>'Ejercicio 6'!$D$37*(1+VLOOKUP(A17,'Ejercicio 1'!$M$40:$R$80,6,FALSE))</f>
        <v>17252.499999999996</v>
      </c>
      <c r="D17" s="139">
        <f>+VLOOKUP(A17,'Ejercicio 1'!$M$40:$R$80,2,FALSE)*'Ejercicio 9'!$D$4/'Ejercicio 2'!$C$12</f>
        <v>2044.9565217391303</v>
      </c>
      <c r="E17" s="139">
        <f t="shared" si="0"/>
        <v>24772.066045548654</v>
      </c>
      <c r="F17" s="139">
        <f>'Ejercicio 6'!$B$46*(1+VLOOKUP(A17,'Ejercicio 1'!$M$40:$R$80,6,FALSE))</f>
        <v>51757.5</v>
      </c>
      <c r="G17" s="139">
        <f>'Ejercicio 6'!$B$47*(1+VLOOKUP(A17,'Ejercicio 1'!$M$40:$R$80,6,FALSE))</f>
        <v>51757.5</v>
      </c>
      <c r="H17" s="139">
        <f>'Ejercicio 6'!$B$48*(1+VLOOKUP(A17,'Ejercicio 1'!$M$40:$R$80,6,FALSE))</f>
        <v>51757.5</v>
      </c>
      <c r="I17" s="139">
        <f>'Ejercicio 6'!$B$49*(1+VLOOKUP(A17,'Ejercicio 1'!$M$40:$R$80,6,FALSE))</f>
        <v>51757.5</v>
      </c>
      <c r="J17" s="139" t="e">
        <f>'Ejercicio 6'!#REF!*(1+VLOOKUP(A17,'Ejercicio 1'!$M$40:$R$80,6,FALSE))</f>
        <v>#REF!</v>
      </c>
      <c r="K17" s="145" t="e">
        <f>'Ejercicio 6'!#REF!*(1+VLOOKUP(A17,'Ejercicio 1'!$M$40:$R$80,6,FALSE))</f>
        <v>#REF!</v>
      </c>
    </row>
    <row r="18" spans="1:11" ht="45" x14ac:dyDescent="0.25">
      <c r="A18" s="142" t="s">
        <v>80</v>
      </c>
      <c r="B18" s="131">
        <f>+'Ejercicio 6'!$F$31*(1+VLOOKUP(A18,'Ejercicio 1'!$M$40:$R$80,6,FALSE)*$D$2)</f>
        <v>5474.609523809524</v>
      </c>
      <c r="C18" s="131">
        <f>'Ejercicio 6'!$D$37*(1+VLOOKUP(A18,'Ejercicio 1'!$M$40:$R$80,6,FALSE))</f>
        <v>17252.499999999996</v>
      </c>
      <c r="D18" s="139">
        <f>+VLOOKUP(A18,'Ejercicio 1'!$M$40:$R$80,2,FALSE)*'Ejercicio 9'!$D$4/'Ejercicio 2'!$C$12</f>
        <v>2044.9565217391303</v>
      </c>
      <c r="E18" s="139">
        <f t="shared" si="0"/>
        <v>24772.066045548654</v>
      </c>
      <c r="F18" s="139">
        <f>'Ejercicio 6'!$B$46*(1+VLOOKUP(A18,'Ejercicio 1'!$M$40:$R$80,6,FALSE))</f>
        <v>51757.5</v>
      </c>
      <c r="G18" s="139">
        <f>'Ejercicio 6'!$B$47*(1+VLOOKUP(A18,'Ejercicio 1'!$M$40:$R$80,6,FALSE))</f>
        <v>51757.5</v>
      </c>
      <c r="H18" s="139">
        <f>'Ejercicio 6'!$B$48*(1+VLOOKUP(A18,'Ejercicio 1'!$M$40:$R$80,6,FALSE))</f>
        <v>51757.5</v>
      </c>
      <c r="I18" s="139">
        <f>'Ejercicio 6'!$B$49*(1+VLOOKUP(A18,'Ejercicio 1'!$M$40:$R$80,6,FALSE))</f>
        <v>51757.5</v>
      </c>
      <c r="J18" s="139" t="e">
        <f>'Ejercicio 6'!#REF!*(1+VLOOKUP(A18,'Ejercicio 1'!$M$40:$R$80,6,FALSE))</f>
        <v>#REF!</v>
      </c>
      <c r="K18" s="145" t="e">
        <f>'Ejercicio 6'!#REF!*(1+VLOOKUP(A18,'Ejercicio 1'!$M$40:$R$80,6,FALSE))</f>
        <v>#REF!</v>
      </c>
    </row>
    <row r="19" spans="1:11" ht="45" x14ac:dyDescent="0.25">
      <c r="A19" s="142" t="s">
        <v>46</v>
      </c>
      <c r="B19" s="131">
        <f>+'Ejercicio 6'!$F$31*(1+VLOOKUP(A19,'Ejercicio 1'!$M$40:$R$80,6,FALSE)*$D$2)</f>
        <v>5474.609523809524</v>
      </c>
      <c r="C19" s="131">
        <f>'Ejercicio 6'!$D$37*(1+VLOOKUP(A19,'Ejercicio 1'!$M$40:$R$80,6,FALSE))</f>
        <v>17252.499999999996</v>
      </c>
      <c r="D19" s="139">
        <f>+VLOOKUP(A19,'Ejercicio 1'!$M$40:$R$80,2,FALSE)*'Ejercicio 9'!$D$4/'Ejercicio 2'!$C$12</f>
        <v>2044.9565217391303</v>
      </c>
      <c r="E19" s="139">
        <f t="shared" si="0"/>
        <v>24772.066045548654</v>
      </c>
      <c r="F19" s="139">
        <f>'Ejercicio 6'!$B$46*(1+VLOOKUP(A19,'Ejercicio 1'!$M$40:$R$80,6,FALSE))</f>
        <v>51757.5</v>
      </c>
      <c r="G19" s="139">
        <f>'Ejercicio 6'!$B$47*(1+VLOOKUP(A19,'Ejercicio 1'!$M$40:$R$80,6,FALSE))</f>
        <v>51757.5</v>
      </c>
      <c r="H19" s="139">
        <f>'Ejercicio 6'!$B$48*(1+VLOOKUP(A19,'Ejercicio 1'!$M$40:$R$80,6,FALSE))</f>
        <v>51757.5</v>
      </c>
      <c r="I19" s="139">
        <f>'Ejercicio 6'!$B$49*(1+VLOOKUP(A19,'Ejercicio 1'!$M$40:$R$80,6,FALSE))</f>
        <v>51757.5</v>
      </c>
      <c r="J19" s="139" t="e">
        <f>'Ejercicio 6'!#REF!*(1+VLOOKUP(A19,'Ejercicio 1'!$M$40:$R$80,6,FALSE))</f>
        <v>#REF!</v>
      </c>
      <c r="K19" s="145" t="e">
        <f>'Ejercicio 6'!#REF!*(1+VLOOKUP(A19,'Ejercicio 1'!$M$40:$R$80,6,FALSE))</f>
        <v>#REF!</v>
      </c>
    </row>
    <row r="20" spans="1:11" ht="45" x14ac:dyDescent="0.25">
      <c r="A20" s="142" t="s">
        <v>48</v>
      </c>
      <c r="B20" s="131">
        <f>+'Ejercicio 6'!$F$31*(1+VLOOKUP(A20,'Ejercicio 1'!$M$40:$R$80,6,FALSE)*$D$2)</f>
        <v>5474.609523809524</v>
      </c>
      <c r="C20" s="131">
        <f>'Ejercicio 6'!$D$37*(1+VLOOKUP(A20,'Ejercicio 1'!$M$40:$R$80,6,FALSE))</f>
        <v>17252.499999999996</v>
      </c>
      <c r="D20" s="139">
        <f>+VLOOKUP(A20,'Ejercicio 1'!$M$40:$R$80,2,FALSE)*'Ejercicio 9'!$D$4/'Ejercicio 2'!$C$12</f>
        <v>2044.9565217391303</v>
      </c>
      <c r="E20" s="139">
        <f t="shared" si="0"/>
        <v>24772.066045548654</v>
      </c>
      <c r="F20" s="139">
        <f>'Ejercicio 6'!$B$46*(1+VLOOKUP(A20,'Ejercicio 1'!$M$40:$R$80,6,FALSE))</f>
        <v>51757.5</v>
      </c>
      <c r="G20" s="139">
        <f>'Ejercicio 6'!$B$47*(1+VLOOKUP(A20,'Ejercicio 1'!$M$40:$R$80,6,FALSE))</f>
        <v>51757.5</v>
      </c>
      <c r="H20" s="139">
        <f>'Ejercicio 6'!$B$48*(1+VLOOKUP(A20,'Ejercicio 1'!$M$40:$R$80,6,FALSE))</f>
        <v>51757.5</v>
      </c>
      <c r="I20" s="139">
        <f>'Ejercicio 6'!$B$49*(1+VLOOKUP(A20,'Ejercicio 1'!$M$40:$R$80,6,FALSE))</f>
        <v>51757.5</v>
      </c>
      <c r="J20" s="139" t="e">
        <f>'Ejercicio 6'!#REF!*(1+VLOOKUP(A20,'Ejercicio 1'!$M$40:$R$80,6,FALSE))</f>
        <v>#REF!</v>
      </c>
      <c r="K20" s="145" t="e">
        <f>'Ejercicio 6'!#REF!*(1+VLOOKUP(A20,'Ejercicio 1'!$M$40:$R$80,6,FALSE))</f>
        <v>#REF!</v>
      </c>
    </row>
    <row r="21" spans="1:11" x14ac:dyDescent="0.25">
      <c r="A21" s="142" t="s">
        <v>32</v>
      </c>
      <c r="B21" s="131">
        <f>+'Ejercicio 6'!$F$31*(1+VLOOKUP(A21,'Ejercicio 1'!$M$40:$R$80,6,FALSE)*$D$2)</f>
        <v>5100.9523809523807</v>
      </c>
      <c r="C21" s="131">
        <f>'Ejercicio 6'!$D$37*(1+VLOOKUP(A21,'Ejercicio 1'!$M$40:$R$80,6,FALSE))</f>
        <v>16833.333333333332</v>
      </c>
      <c r="D21" s="139">
        <f>+VLOOKUP(A21,'Ejercicio 1'!$M$40:$R$80,2,FALSE)*'Ejercicio 9'!$D$4/'Ejercicio 2'!$C$12</f>
        <v>1976.0869565217392</v>
      </c>
      <c r="E21" s="139">
        <f t="shared" si="0"/>
        <v>23910.372670807454</v>
      </c>
      <c r="F21" s="139">
        <f>'Ejercicio 6'!$B$46*(1+VLOOKUP(A21,'Ejercicio 1'!$M$40:$R$80,6,FALSE))</f>
        <v>50500</v>
      </c>
      <c r="G21" s="139">
        <f>'Ejercicio 6'!$B$47*(1+VLOOKUP(A21,'Ejercicio 1'!$M$40:$R$80,6,FALSE))</f>
        <v>50500</v>
      </c>
      <c r="H21" s="139">
        <f>'Ejercicio 6'!$B$48*(1+VLOOKUP(A21,'Ejercicio 1'!$M$40:$R$80,6,FALSE))</f>
        <v>50500</v>
      </c>
      <c r="I21" s="139">
        <f>'Ejercicio 6'!$B$49*(1+VLOOKUP(A21,'Ejercicio 1'!$M$40:$R$80,6,FALSE))</f>
        <v>50500</v>
      </c>
      <c r="J21" s="139" t="e">
        <f>'Ejercicio 6'!#REF!*(1+VLOOKUP(A21,'Ejercicio 1'!$M$40:$R$80,6,FALSE))</f>
        <v>#REF!</v>
      </c>
      <c r="K21" s="145" t="e">
        <f>'Ejercicio 6'!#REF!*(1+VLOOKUP(A21,'Ejercicio 1'!$M$40:$R$80,6,FALSE))</f>
        <v>#REF!</v>
      </c>
    </row>
    <row r="22" spans="1:11" ht="90" x14ac:dyDescent="0.25">
      <c r="A22" s="142" t="s">
        <v>68</v>
      </c>
      <c r="B22" s="131">
        <f>+'Ejercicio 6'!$F$31*(1+VLOOKUP(A22,'Ejercicio 1'!$M$40:$R$80,6,FALSE)*$D$2)</f>
        <v>5401.0666666666666</v>
      </c>
      <c r="C22" s="131">
        <f>'Ejercicio 6'!$D$37*(1+VLOOKUP(A22,'Ejercicio 1'!$M$40:$R$80,6,FALSE))</f>
        <v>17169.999999999996</v>
      </c>
      <c r="D22" s="139">
        <f>+VLOOKUP(A22,'Ejercicio 1'!$M$40:$R$80,2,FALSE)*'Ejercicio 9'!$D$4/'Ejercicio 2'!$C$12</f>
        <v>2015.608695652174</v>
      </c>
      <c r="E22" s="139">
        <f t="shared" si="0"/>
        <v>24586.675362318834</v>
      </c>
      <c r="F22" s="139">
        <f>'Ejercicio 6'!$B$46*(1+VLOOKUP(A22,'Ejercicio 1'!$M$40:$R$80,6,FALSE))</f>
        <v>51510</v>
      </c>
      <c r="G22" s="139">
        <f>'Ejercicio 6'!$B$47*(1+VLOOKUP(A22,'Ejercicio 1'!$M$40:$R$80,6,FALSE))</f>
        <v>51510</v>
      </c>
      <c r="H22" s="139">
        <f>'Ejercicio 6'!$B$48*(1+VLOOKUP(A22,'Ejercicio 1'!$M$40:$R$80,6,FALSE))</f>
        <v>51510</v>
      </c>
      <c r="I22" s="139">
        <f>'Ejercicio 6'!$B$49*(1+VLOOKUP(A22,'Ejercicio 1'!$M$40:$R$80,6,FALSE))</f>
        <v>51510</v>
      </c>
      <c r="J22" s="139" t="e">
        <f>'Ejercicio 6'!#REF!*(1+VLOOKUP(A22,'Ejercicio 1'!$M$40:$R$80,6,FALSE))</f>
        <v>#REF!</v>
      </c>
      <c r="K22" s="145" t="e">
        <f>'Ejercicio 6'!#REF!*(1+VLOOKUP(A22,'Ejercicio 1'!$M$40:$R$80,6,FALSE))</f>
        <v>#REF!</v>
      </c>
    </row>
    <row r="23" spans="1:11" ht="45" x14ac:dyDescent="0.25">
      <c r="A23" s="142" t="s">
        <v>49</v>
      </c>
      <c r="B23" s="131">
        <f>+'Ejercicio 6'!$F$31*(1+VLOOKUP(A23,'Ejercicio 1'!$M$40:$R$80,6,FALSE)*$D$2)</f>
        <v>5401.0666666666666</v>
      </c>
      <c r="C23" s="131">
        <f>'Ejercicio 6'!$D$37*(1+VLOOKUP(A23,'Ejercicio 1'!$M$40:$R$80,6,FALSE))</f>
        <v>17169.999999999996</v>
      </c>
      <c r="D23" s="139">
        <f>+VLOOKUP(A23,'Ejercicio 1'!$M$40:$R$80,2,FALSE)*'Ejercicio 9'!$D$4/'Ejercicio 2'!$C$12</f>
        <v>2015.608695652174</v>
      </c>
      <c r="E23" s="139">
        <f t="shared" si="0"/>
        <v>24586.675362318834</v>
      </c>
      <c r="F23" s="139">
        <f>'Ejercicio 6'!$B$46*(1+VLOOKUP(A23,'Ejercicio 1'!$M$40:$R$80,6,FALSE))</f>
        <v>51510</v>
      </c>
      <c r="G23" s="139">
        <f>'Ejercicio 6'!$B$47*(1+VLOOKUP(A23,'Ejercicio 1'!$M$40:$R$80,6,FALSE))</f>
        <v>51510</v>
      </c>
      <c r="H23" s="139">
        <f>'Ejercicio 6'!$B$48*(1+VLOOKUP(A23,'Ejercicio 1'!$M$40:$R$80,6,FALSE))</f>
        <v>51510</v>
      </c>
      <c r="I23" s="139">
        <f>'Ejercicio 6'!$B$49*(1+VLOOKUP(A23,'Ejercicio 1'!$M$40:$R$80,6,FALSE))</f>
        <v>51510</v>
      </c>
      <c r="J23" s="139" t="e">
        <f>'Ejercicio 6'!#REF!*(1+VLOOKUP(A23,'Ejercicio 1'!$M$40:$R$80,6,FALSE))</f>
        <v>#REF!</v>
      </c>
      <c r="K23" s="145" t="e">
        <f>'Ejercicio 6'!#REF!*(1+VLOOKUP(A23,'Ejercicio 1'!$M$40:$R$80,6,FALSE))</f>
        <v>#REF!</v>
      </c>
    </row>
    <row r="24" spans="1:11" ht="45" x14ac:dyDescent="0.25">
      <c r="A24" s="142" t="s">
        <v>64</v>
      </c>
      <c r="B24" s="131">
        <f>+'Ejercicio 6'!$F$31*(1+VLOOKUP(A24,'Ejercicio 1'!$M$40:$R$80,6,FALSE)*$D$2)</f>
        <v>5401.0666666666666</v>
      </c>
      <c r="C24" s="131">
        <f>'Ejercicio 6'!$D$37*(1+VLOOKUP(A24,'Ejercicio 1'!$M$40:$R$80,6,FALSE))</f>
        <v>17169.999999999996</v>
      </c>
      <c r="D24" s="139">
        <f>+VLOOKUP(A24,'Ejercicio 1'!$M$40:$R$80,2,FALSE)*'Ejercicio 9'!$D$4/'Ejercicio 2'!$C$12</f>
        <v>2015.608695652174</v>
      </c>
      <c r="E24" s="139">
        <f t="shared" si="0"/>
        <v>24586.675362318834</v>
      </c>
      <c r="F24" s="139">
        <f>'Ejercicio 6'!$B$46*(1+VLOOKUP(A24,'Ejercicio 1'!$M$40:$R$80,6,FALSE))</f>
        <v>51510</v>
      </c>
      <c r="G24" s="139">
        <f>'Ejercicio 6'!$B$47*(1+VLOOKUP(A24,'Ejercicio 1'!$M$40:$R$80,6,FALSE))</f>
        <v>51510</v>
      </c>
      <c r="H24" s="139">
        <f>'Ejercicio 6'!$B$48*(1+VLOOKUP(A24,'Ejercicio 1'!$M$40:$R$80,6,FALSE))</f>
        <v>51510</v>
      </c>
      <c r="I24" s="139">
        <f>'Ejercicio 6'!$B$49*(1+VLOOKUP(A24,'Ejercicio 1'!$M$40:$R$80,6,FALSE))</f>
        <v>51510</v>
      </c>
      <c r="J24" s="139" t="e">
        <f>'Ejercicio 6'!#REF!*(1+VLOOKUP(A24,'Ejercicio 1'!$M$40:$R$80,6,FALSE))</f>
        <v>#REF!</v>
      </c>
      <c r="K24" s="145" t="e">
        <f>'Ejercicio 6'!#REF!*(1+VLOOKUP(A24,'Ejercicio 1'!$M$40:$R$80,6,FALSE))</f>
        <v>#REF!</v>
      </c>
    </row>
    <row r="25" spans="1:11" ht="45" x14ac:dyDescent="0.25">
      <c r="A25" s="142" t="s">
        <v>70</v>
      </c>
      <c r="B25" s="131">
        <f>+'Ejercicio 6'!$F$31*(1+VLOOKUP(A25,'Ejercicio 1'!$M$40:$R$80,6,FALSE)*$D$2)</f>
        <v>5401.0666666666666</v>
      </c>
      <c r="C25" s="131">
        <f>'Ejercicio 6'!$D$37*(1+VLOOKUP(A25,'Ejercicio 1'!$M$40:$R$80,6,FALSE))</f>
        <v>17169.999999999996</v>
      </c>
      <c r="D25" s="139">
        <f>+VLOOKUP(A25,'Ejercicio 1'!$M$40:$R$80,2,FALSE)*'Ejercicio 9'!$D$4/'Ejercicio 2'!$C$12</f>
        <v>2015.608695652174</v>
      </c>
      <c r="E25" s="139">
        <f t="shared" si="0"/>
        <v>24586.675362318834</v>
      </c>
      <c r="F25" s="139">
        <f>'Ejercicio 6'!$B$46*(1+VLOOKUP(A25,'Ejercicio 1'!$M$40:$R$80,6,FALSE))</f>
        <v>51510</v>
      </c>
      <c r="G25" s="139">
        <f>'Ejercicio 6'!$B$47*(1+VLOOKUP(A25,'Ejercicio 1'!$M$40:$R$80,6,FALSE))</f>
        <v>51510</v>
      </c>
      <c r="H25" s="139">
        <f>'Ejercicio 6'!$B$48*(1+VLOOKUP(A25,'Ejercicio 1'!$M$40:$R$80,6,FALSE))</f>
        <v>51510</v>
      </c>
      <c r="I25" s="139">
        <f>'Ejercicio 6'!$B$49*(1+VLOOKUP(A25,'Ejercicio 1'!$M$40:$R$80,6,FALSE))</f>
        <v>51510</v>
      </c>
      <c r="J25" s="139" t="e">
        <f>'Ejercicio 6'!#REF!*(1+VLOOKUP(A25,'Ejercicio 1'!$M$40:$R$80,6,FALSE))</f>
        <v>#REF!</v>
      </c>
      <c r="K25" s="145" t="e">
        <f>'Ejercicio 6'!#REF!*(1+VLOOKUP(A25,'Ejercicio 1'!$M$40:$R$80,6,FALSE))</f>
        <v>#REF!</v>
      </c>
    </row>
    <row r="26" spans="1:11" ht="45" x14ac:dyDescent="0.25">
      <c r="A26" s="142" t="s">
        <v>69</v>
      </c>
      <c r="B26" s="131">
        <f>+'Ejercicio 6'!$F$31*(1+VLOOKUP(A26,'Ejercicio 1'!$M$40:$R$80,6,FALSE)*$D$2)</f>
        <v>5401.0666666666666</v>
      </c>
      <c r="C26" s="131">
        <f>'Ejercicio 6'!$D$37*(1+VLOOKUP(A26,'Ejercicio 1'!$M$40:$R$80,6,FALSE))</f>
        <v>17169.999999999996</v>
      </c>
      <c r="D26" s="139">
        <f>+VLOOKUP(A26,'Ejercicio 1'!$M$40:$R$80,2,FALSE)*'Ejercicio 9'!$D$4/'Ejercicio 2'!$C$12</f>
        <v>2015.608695652174</v>
      </c>
      <c r="E26" s="139">
        <f t="shared" si="0"/>
        <v>24586.675362318834</v>
      </c>
      <c r="F26" s="139">
        <f>'Ejercicio 6'!$B$46*(1+VLOOKUP(A26,'Ejercicio 1'!$M$40:$R$80,6,FALSE))</f>
        <v>51510</v>
      </c>
      <c r="G26" s="139">
        <f>'Ejercicio 6'!$B$47*(1+VLOOKUP(A26,'Ejercicio 1'!$M$40:$R$80,6,FALSE))</f>
        <v>51510</v>
      </c>
      <c r="H26" s="139">
        <f>'Ejercicio 6'!$B$48*(1+VLOOKUP(A26,'Ejercicio 1'!$M$40:$R$80,6,FALSE))</f>
        <v>51510</v>
      </c>
      <c r="I26" s="139">
        <f>'Ejercicio 6'!$B$49*(1+VLOOKUP(A26,'Ejercicio 1'!$M$40:$R$80,6,FALSE))</f>
        <v>51510</v>
      </c>
      <c r="J26" s="139" t="e">
        <f>'Ejercicio 6'!#REF!*(1+VLOOKUP(A26,'Ejercicio 1'!$M$40:$R$80,6,FALSE))</f>
        <v>#REF!</v>
      </c>
      <c r="K26" s="145" t="e">
        <f>'Ejercicio 6'!#REF!*(1+VLOOKUP(A26,'Ejercicio 1'!$M$40:$R$80,6,FALSE))</f>
        <v>#REF!</v>
      </c>
    </row>
    <row r="27" spans="1:11" ht="45" x14ac:dyDescent="0.25">
      <c r="A27" s="142" t="s">
        <v>41</v>
      </c>
      <c r="B27" s="131">
        <f>+'Ejercicio 6'!$F$31*(1+VLOOKUP(A27,'Ejercicio 1'!$M$40:$R$80,6,FALSE)*$D$2)</f>
        <v>5401.0666666666666</v>
      </c>
      <c r="C27" s="131">
        <f>'Ejercicio 6'!$D$37*(1+VLOOKUP(A27,'Ejercicio 1'!$M$40:$R$80,6,FALSE))</f>
        <v>17169.999999999996</v>
      </c>
      <c r="D27" s="139">
        <f>+VLOOKUP(A27,'Ejercicio 1'!$M$40:$R$80,2,FALSE)*'Ejercicio 9'!$D$4/'Ejercicio 2'!$C$12</f>
        <v>2015.608695652174</v>
      </c>
      <c r="E27" s="139">
        <f t="shared" si="0"/>
        <v>24586.675362318834</v>
      </c>
      <c r="F27" s="139">
        <f>'Ejercicio 6'!$B$46*(1+VLOOKUP(A27,'Ejercicio 1'!$M$40:$R$80,6,FALSE))</f>
        <v>51510</v>
      </c>
      <c r="G27" s="139">
        <f>'Ejercicio 6'!$B$47*(1+VLOOKUP(A27,'Ejercicio 1'!$M$40:$R$80,6,FALSE))</f>
        <v>51510</v>
      </c>
      <c r="H27" s="139">
        <f>'Ejercicio 6'!$B$48*(1+VLOOKUP(A27,'Ejercicio 1'!$M$40:$R$80,6,FALSE))</f>
        <v>51510</v>
      </c>
      <c r="I27" s="139">
        <f>'Ejercicio 6'!$B$49*(1+VLOOKUP(A27,'Ejercicio 1'!$M$40:$R$80,6,FALSE))</f>
        <v>51510</v>
      </c>
      <c r="J27" s="139" t="e">
        <f>'Ejercicio 6'!#REF!*(1+VLOOKUP(A27,'Ejercicio 1'!$M$40:$R$80,6,FALSE))</f>
        <v>#REF!</v>
      </c>
      <c r="K27" s="145" t="e">
        <f>'Ejercicio 6'!#REF!*(1+VLOOKUP(A27,'Ejercicio 1'!$M$40:$R$80,6,FALSE))</f>
        <v>#REF!</v>
      </c>
    </row>
    <row r="28" spans="1:11" ht="45" x14ac:dyDescent="0.25">
      <c r="A28" s="142" t="s">
        <v>63</v>
      </c>
      <c r="B28" s="131">
        <f>+'Ejercicio 6'!$F$31*(1+VLOOKUP(A28,'Ejercicio 1'!$M$40:$R$80,6,FALSE)*$D$2)</f>
        <v>5401.0666666666666</v>
      </c>
      <c r="C28" s="131">
        <f>'Ejercicio 6'!$D$37*(1+VLOOKUP(A28,'Ejercicio 1'!$M$40:$R$80,6,FALSE))</f>
        <v>17169.999999999996</v>
      </c>
      <c r="D28" s="139">
        <f>+VLOOKUP(A28,'Ejercicio 1'!$M$40:$R$80,2,FALSE)*'Ejercicio 9'!$D$4/'Ejercicio 2'!$C$12</f>
        <v>2015.608695652174</v>
      </c>
      <c r="E28" s="139">
        <f t="shared" si="0"/>
        <v>24586.675362318834</v>
      </c>
      <c r="F28" s="139">
        <f>'Ejercicio 6'!$B$46*(1+VLOOKUP(A28,'Ejercicio 1'!$M$40:$R$80,6,FALSE))</f>
        <v>51510</v>
      </c>
      <c r="G28" s="139">
        <f>'Ejercicio 6'!$B$47*(1+VLOOKUP(A28,'Ejercicio 1'!$M$40:$R$80,6,FALSE))</f>
        <v>51510</v>
      </c>
      <c r="H28" s="139">
        <f>'Ejercicio 6'!$B$48*(1+VLOOKUP(A28,'Ejercicio 1'!$M$40:$R$80,6,FALSE))</f>
        <v>51510</v>
      </c>
      <c r="I28" s="139">
        <f>'Ejercicio 6'!$B$49*(1+VLOOKUP(A28,'Ejercicio 1'!$M$40:$R$80,6,FALSE))</f>
        <v>51510</v>
      </c>
      <c r="J28" s="139" t="e">
        <f>'Ejercicio 6'!#REF!*(1+VLOOKUP(A28,'Ejercicio 1'!$M$40:$R$80,6,FALSE))</f>
        <v>#REF!</v>
      </c>
      <c r="K28" s="145" t="e">
        <f>'Ejercicio 6'!#REF!*(1+VLOOKUP(A28,'Ejercicio 1'!$M$40:$R$80,6,FALSE))</f>
        <v>#REF!</v>
      </c>
    </row>
    <row r="29" spans="1:11" ht="45" x14ac:dyDescent="0.25">
      <c r="A29" s="142" t="s">
        <v>51</v>
      </c>
      <c r="B29" s="131">
        <f>+'Ejercicio 6'!$F$31*(1+VLOOKUP(A29,'Ejercicio 1'!$M$40:$R$80,6,FALSE)*$D$2)</f>
        <v>5401.0666666666666</v>
      </c>
      <c r="C29" s="131">
        <f>'Ejercicio 6'!$D$37*(1+VLOOKUP(A29,'Ejercicio 1'!$M$40:$R$80,6,FALSE))</f>
        <v>17169.999999999996</v>
      </c>
      <c r="D29" s="139">
        <f>+VLOOKUP(A29,'Ejercicio 1'!$M$40:$R$80,2,FALSE)*'Ejercicio 9'!$D$4/'Ejercicio 2'!$C$12</f>
        <v>2015.608695652174</v>
      </c>
      <c r="E29" s="139">
        <f t="shared" si="0"/>
        <v>24586.675362318834</v>
      </c>
      <c r="F29" s="139">
        <f>'Ejercicio 6'!$B$46*(1+VLOOKUP(A29,'Ejercicio 1'!$M$40:$R$80,6,FALSE))</f>
        <v>51510</v>
      </c>
      <c r="G29" s="139">
        <f>'Ejercicio 6'!$B$47*(1+VLOOKUP(A29,'Ejercicio 1'!$M$40:$R$80,6,FALSE))</f>
        <v>51510</v>
      </c>
      <c r="H29" s="139">
        <f>'Ejercicio 6'!$B$48*(1+VLOOKUP(A29,'Ejercicio 1'!$M$40:$R$80,6,FALSE))</f>
        <v>51510</v>
      </c>
      <c r="I29" s="139">
        <f>'Ejercicio 6'!$B$49*(1+VLOOKUP(A29,'Ejercicio 1'!$M$40:$R$80,6,FALSE))</f>
        <v>51510</v>
      </c>
      <c r="J29" s="139" t="e">
        <f>'Ejercicio 6'!#REF!*(1+VLOOKUP(A29,'Ejercicio 1'!$M$40:$R$80,6,FALSE))</f>
        <v>#REF!</v>
      </c>
      <c r="K29" s="145" t="e">
        <f>'Ejercicio 6'!#REF!*(1+VLOOKUP(A29,'Ejercicio 1'!$M$40:$R$80,6,FALSE))</f>
        <v>#REF!</v>
      </c>
    </row>
    <row r="30" spans="1:11" ht="30" x14ac:dyDescent="0.25">
      <c r="A30" s="142" t="s">
        <v>61</v>
      </c>
      <c r="B30" s="131">
        <f>+'Ejercicio 6'!$F$31*(1+VLOOKUP(A30,'Ejercicio 1'!$M$40:$R$80,6,FALSE)*$D$2)</f>
        <v>5252.4952380952382</v>
      </c>
      <c r="C30" s="131">
        <f>'Ejercicio 6'!$D$37*(1+VLOOKUP(A30,'Ejercicio 1'!$M$40:$R$80,6,FALSE))</f>
        <v>17003.333333333332</v>
      </c>
      <c r="D30" s="139">
        <f>+VLOOKUP(A30,'Ejercicio 1'!$M$40:$R$80,2,FALSE)*'Ejercicio 9'!$D$4/'Ejercicio 2'!$C$12</f>
        <v>2015.608695652174</v>
      </c>
      <c r="E30" s="139">
        <f t="shared" si="0"/>
        <v>24271.437267080742</v>
      </c>
      <c r="F30" s="139">
        <f>'Ejercicio 6'!$B$46*(1+VLOOKUP(A30,'Ejercicio 1'!$M$40:$R$80,6,FALSE))</f>
        <v>51010</v>
      </c>
      <c r="G30" s="139">
        <f>'Ejercicio 6'!$B$47*(1+VLOOKUP(A30,'Ejercicio 1'!$M$40:$R$80,6,FALSE))</f>
        <v>51010</v>
      </c>
      <c r="H30" s="139">
        <f>'Ejercicio 6'!$B$48*(1+VLOOKUP(A30,'Ejercicio 1'!$M$40:$R$80,6,FALSE))</f>
        <v>51010</v>
      </c>
      <c r="I30" s="139">
        <f>'Ejercicio 6'!$B$49*(1+VLOOKUP(A30,'Ejercicio 1'!$M$40:$R$80,6,FALSE))</f>
        <v>51010</v>
      </c>
      <c r="J30" s="139" t="e">
        <f>'Ejercicio 6'!#REF!*(1+VLOOKUP(A30,'Ejercicio 1'!$M$40:$R$80,6,FALSE))</f>
        <v>#REF!</v>
      </c>
      <c r="K30" s="145" t="e">
        <f>'Ejercicio 6'!#REF!*(1+VLOOKUP(A30,'Ejercicio 1'!$M$40:$R$80,6,FALSE))</f>
        <v>#REF!</v>
      </c>
    </row>
    <row r="31" spans="1:11" ht="30" x14ac:dyDescent="0.25">
      <c r="A31" s="142" t="s">
        <v>55</v>
      </c>
      <c r="B31" s="131">
        <f>+'Ejercicio 6'!$F$31*(1+VLOOKUP(A31,'Ejercicio 1'!$M$40:$R$80,6,FALSE)*$D$2)</f>
        <v>5100.9523809523807</v>
      </c>
      <c r="C31" s="131">
        <f>'Ejercicio 6'!$D$37*(1+VLOOKUP(A31,'Ejercicio 1'!$M$40:$R$80,6,FALSE))</f>
        <v>16833.333333333332</v>
      </c>
      <c r="D31" s="139">
        <f>+VLOOKUP(A31,'Ejercicio 1'!$M$40:$R$80,2,FALSE)*'Ejercicio 9'!$D$4/'Ejercicio 2'!$C$12</f>
        <v>1976.0869565217392</v>
      </c>
      <c r="E31" s="139">
        <f t="shared" si="0"/>
        <v>23910.372670807454</v>
      </c>
      <c r="F31" s="139">
        <f>'Ejercicio 6'!$B$46*(1+VLOOKUP(A31,'Ejercicio 1'!$M$40:$R$80,6,FALSE))</f>
        <v>50500</v>
      </c>
      <c r="G31" s="139">
        <f>'Ejercicio 6'!$B$47*(1+VLOOKUP(A31,'Ejercicio 1'!$M$40:$R$80,6,FALSE))</f>
        <v>50500</v>
      </c>
      <c r="H31" s="139">
        <f>'Ejercicio 6'!$B$48*(1+VLOOKUP(A31,'Ejercicio 1'!$M$40:$R$80,6,FALSE))</f>
        <v>50500</v>
      </c>
      <c r="I31" s="139">
        <f>'Ejercicio 6'!$B$49*(1+VLOOKUP(A31,'Ejercicio 1'!$M$40:$R$80,6,FALSE))</f>
        <v>50500</v>
      </c>
      <c r="J31" s="139" t="e">
        <f>'Ejercicio 6'!#REF!*(1+VLOOKUP(A31,'Ejercicio 1'!$M$40:$R$80,6,FALSE))</f>
        <v>#REF!</v>
      </c>
      <c r="K31" s="145" t="e">
        <f>'Ejercicio 6'!#REF!*(1+VLOOKUP(A31,'Ejercicio 1'!$M$40:$R$80,6,FALSE))</f>
        <v>#REF!</v>
      </c>
    </row>
    <row r="32" spans="1:11" ht="30" x14ac:dyDescent="0.25">
      <c r="A32" s="142" t="s">
        <v>71</v>
      </c>
      <c r="B32" s="131">
        <f>+'Ejercicio 6'!$F$31*(1+VLOOKUP(A32,'Ejercicio 1'!$M$40:$R$80,6,FALSE)*$D$2)</f>
        <v>5100.9523809523807</v>
      </c>
      <c r="C32" s="131">
        <f>'Ejercicio 6'!$D$37*(1+VLOOKUP(A32,'Ejercicio 1'!$M$40:$R$80,6,FALSE))</f>
        <v>16833.333333333332</v>
      </c>
      <c r="D32" s="139">
        <f>+VLOOKUP(A32,'Ejercicio 1'!$M$40:$R$80,2,FALSE)*'Ejercicio 9'!$D$4/'Ejercicio 2'!$C$12</f>
        <v>1976.0869565217392</v>
      </c>
      <c r="E32" s="139">
        <f t="shared" si="0"/>
        <v>23910.372670807454</v>
      </c>
      <c r="F32" s="139">
        <f>'Ejercicio 6'!$B$46*(1+VLOOKUP(A32,'Ejercicio 1'!$M$40:$R$80,6,FALSE))</f>
        <v>50500</v>
      </c>
      <c r="G32" s="139">
        <f>'Ejercicio 6'!$B$47*(1+VLOOKUP(A32,'Ejercicio 1'!$M$40:$R$80,6,FALSE))</f>
        <v>50500</v>
      </c>
      <c r="H32" s="139">
        <f>'Ejercicio 6'!$B$48*(1+VLOOKUP(A32,'Ejercicio 1'!$M$40:$R$80,6,FALSE))</f>
        <v>50500</v>
      </c>
      <c r="I32" s="139">
        <f>'Ejercicio 6'!$B$49*(1+VLOOKUP(A32,'Ejercicio 1'!$M$40:$R$80,6,FALSE))</f>
        <v>50500</v>
      </c>
      <c r="J32" s="139" t="e">
        <f>'Ejercicio 6'!#REF!*(1+VLOOKUP(A32,'Ejercicio 1'!$M$40:$R$80,6,FALSE))</f>
        <v>#REF!</v>
      </c>
      <c r="K32" s="145" t="e">
        <f>'Ejercicio 6'!#REF!*(1+VLOOKUP(A32,'Ejercicio 1'!$M$40:$R$80,6,FALSE))</f>
        <v>#REF!</v>
      </c>
    </row>
    <row r="33" spans="1:11" x14ac:dyDescent="0.25">
      <c r="A33" s="142" t="s">
        <v>73</v>
      </c>
      <c r="B33" s="131">
        <f>+'Ejercicio 6'!$F$31*(1+VLOOKUP(A33,'Ejercicio 1'!$M$40:$R$80,6,FALSE)*$D$2)</f>
        <v>5100.9523809523807</v>
      </c>
      <c r="C33" s="131">
        <f>'Ejercicio 6'!$D$37*(1+VLOOKUP(A33,'Ejercicio 1'!$M$40:$R$80,6,FALSE))</f>
        <v>16833.333333333332</v>
      </c>
      <c r="D33" s="139">
        <f>+VLOOKUP(A33,'Ejercicio 1'!$M$40:$R$80,2,FALSE)*'Ejercicio 9'!$D$4/'Ejercicio 2'!$C$12</f>
        <v>1976.0869565217392</v>
      </c>
      <c r="E33" s="139">
        <f t="shared" si="0"/>
        <v>23910.372670807454</v>
      </c>
      <c r="F33" s="139">
        <f>'Ejercicio 6'!$B$46*(1+VLOOKUP(A33,'Ejercicio 1'!$M$40:$R$80,6,FALSE))</f>
        <v>50500</v>
      </c>
      <c r="G33" s="139">
        <f>'Ejercicio 6'!$B$47*(1+VLOOKUP(A33,'Ejercicio 1'!$M$40:$R$80,6,FALSE))</f>
        <v>50500</v>
      </c>
      <c r="H33" s="139">
        <f>'Ejercicio 6'!$B$48*(1+VLOOKUP(A33,'Ejercicio 1'!$M$40:$R$80,6,FALSE))</f>
        <v>50500</v>
      </c>
      <c r="I33" s="139">
        <f>'Ejercicio 6'!$B$49*(1+VLOOKUP(A33,'Ejercicio 1'!$M$40:$R$80,6,FALSE))</f>
        <v>50500</v>
      </c>
      <c r="J33" s="139" t="e">
        <f>'Ejercicio 6'!#REF!*(1+VLOOKUP(A33,'Ejercicio 1'!$M$40:$R$80,6,FALSE))</f>
        <v>#REF!</v>
      </c>
      <c r="K33" s="145" t="e">
        <f>'Ejercicio 6'!#REF!*(1+VLOOKUP(A33,'Ejercicio 1'!$M$40:$R$80,6,FALSE))</f>
        <v>#REF!</v>
      </c>
    </row>
    <row r="34" spans="1:11" x14ac:dyDescent="0.25">
      <c r="A34" s="142" t="s">
        <v>66</v>
      </c>
      <c r="B34" s="131">
        <f>+'Ejercicio 6'!$F$31*(1+VLOOKUP(A34,'Ejercicio 1'!$M$40:$R$80,6,FALSE)*$D$2)</f>
        <v>5551.1238095238095</v>
      </c>
      <c r="C34" s="131">
        <f>'Ejercicio 6'!$D$37*(1+VLOOKUP(A34,'Ejercicio 1'!$M$40:$R$80,6,FALSE))</f>
        <v>17338.333333333332</v>
      </c>
      <c r="D34" s="139">
        <f>+VLOOKUP(A34,'Ejercicio 1'!$M$40:$R$80,2,FALSE)*'Ejercicio 9'!$D$4/'Ejercicio 2'!$C$12</f>
        <v>2035.3695652173913</v>
      </c>
      <c r="E34" s="139">
        <f t="shared" si="0"/>
        <v>24924.826708074535</v>
      </c>
      <c r="F34" s="139">
        <f>'Ejercicio 6'!$B$46*(1+VLOOKUP(A34,'Ejercicio 1'!$M$40:$R$80,6,FALSE))</f>
        <v>52015</v>
      </c>
      <c r="G34" s="139">
        <f>'Ejercicio 6'!$B$47*(1+VLOOKUP(A34,'Ejercicio 1'!$M$40:$R$80,6,FALSE))</f>
        <v>52015</v>
      </c>
      <c r="H34" s="139">
        <f>'Ejercicio 6'!$B$48*(1+VLOOKUP(A34,'Ejercicio 1'!$M$40:$R$80,6,FALSE))</f>
        <v>52015</v>
      </c>
      <c r="I34" s="139">
        <f>'Ejercicio 6'!$B$49*(1+VLOOKUP(A34,'Ejercicio 1'!$M$40:$R$80,6,FALSE))</f>
        <v>52015</v>
      </c>
      <c r="J34" s="139" t="e">
        <f>'Ejercicio 6'!#REF!*(1+VLOOKUP(A34,'Ejercicio 1'!$M$40:$R$80,6,FALSE))</f>
        <v>#REF!</v>
      </c>
      <c r="K34" s="145" t="e">
        <f>'Ejercicio 6'!#REF!*(1+VLOOKUP(A34,'Ejercicio 1'!$M$40:$R$80,6,FALSE))</f>
        <v>#REF!</v>
      </c>
    </row>
    <row r="35" spans="1:11" x14ac:dyDescent="0.25">
      <c r="A35" s="142" t="s">
        <v>52</v>
      </c>
      <c r="B35" s="131">
        <f>+'Ejercicio 6'!$F$31*(1+VLOOKUP(A35,'Ejercicio 1'!$M$40:$R$80,6,FALSE)*$D$2)</f>
        <v>5175.9809523809527</v>
      </c>
      <c r="C35" s="131">
        <f>'Ejercicio 6'!$D$37*(1+VLOOKUP(A35,'Ejercicio 1'!$M$40:$R$80,6,FALSE))</f>
        <v>16917.499999999996</v>
      </c>
      <c r="D35" s="139">
        <f>+VLOOKUP(A35,'Ejercicio 1'!$M$40:$R$80,2,FALSE)*'Ejercicio 9'!$D$4/'Ejercicio 2'!$C$12</f>
        <v>1985.9673913043475</v>
      </c>
      <c r="E35" s="139">
        <f t="shared" si="0"/>
        <v>24079.448343685297</v>
      </c>
      <c r="F35" s="139">
        <f>'Ejercicio 6'!$B$46*(1+VLOOKUP(A35,'Ejercicio 1'!$M$40:$R$80,6,FALSE))</f>
        <v>50752.5</v>
      </c>
      <c r="G35" s="139">
        <f>'Ejercicio 6'!$B$47*(1+VLOOKUP(A35,'Ejercicio 1'!$M$40:$R$80,6,FALSE))</f>
        <v>50752.5</v>
      </c>
      <c r="H35" s="139">
        <f>'Ejercicio 6'!$B$48*(1+VLOOKUP(A35,'Ejercicio 1'!$M$40:$R$80,6,FALSE))</f>
        <v>50752.5</v>
      </c>
      <c r="I35" s="139">
        <f>'Ejercicio 6'!$B$49*(1+VLOOKUP(A35,'Ejercicio 1'!$M$40:$R$80,6,FALSE))</f>
        <v>50752.5</v>
      </c>
      <c r="J35" s="139" t="e">
        <f>'Ejercicio 6'!#REF!*(1+VLOOKUP(A35,'Ejercicio 1'!$M$40:$R$80,6,FALSE))</f>
        <v>#REF!</v>
      </c>
      <c r="K35" s="145" t="e">
        <f>'Ejercicio 6'!#REF!*(1+VLOOKUP(A35,'Ejercicio 1'!$M$40:$R$80,6,FALSE))</f>
        <v>#REF!</v>
      </c>
    </row>
    <row r="36" spans="1:11" x14ac:dyDescent="0.25">
      <c r="A36" s="142" t="s">
        <v>33</v>
      </c>
      <c r="B36" s="131">
        <f>+'Ejercicio 6'!$F$31*(1+VLOOKUP(A36,'Ejercicio 1'!$M$40:$R$80,6,FALSE)*$D$2)</f>
        <v>5551.1238095238095</v>
      </c>
      <c r="C36" s="131">
        <f>'Ejercicio 6'!$D$37*(1+VLOOKUP(A36,'Ejercicio 1'!$M$40:$R$80,6,FALSE))</f>
        <v>17338.333333333332</v>
      </c>
      <c r="D36" s="139">
        <f>+VLOOKUP(A36,'Ejercicio 1'!$M$40:$R$80,2,FALSE)*'Ejercicio 9'!$D$4/'Ejercicio 2'!$C$12</f>
        <v>2035.3695652173913</v>
      </c>
      <c r="E36" s="139">
        <f t="shared" si="0"/>
        <v>24924.826708074535</v>
      </c>
      <c r="F36" s="139">
        <f>'Ejercicio 6'!$B$46*(1+VLOOKUP(A36,'Ejercicio 1'!$M$40:$R$80,6,FALSE))</f>
        <v>52015</v>
      </c>
      <c r="G36" s="139">
        <f>'Ejercicio 6'!$B$47*(1+VLOOKUP(A36,'Ejercicio 1'!$M$40:$R$80,6,FALSE))</f>
        <v>52015</v>
      </c>
      <c r="H36" s="139">
        <f>'Ejercicio 6'!$B$48*(1+VLOOKUP(A36,'Ejercicio 1'!$M$40:$R$80,6,FALSE))</f>
        <v>52015</v>
      </c>
      <c r="I36" s="139">
        <f>'Ejercicio 6'!$B$49*(1+VLOOKUP(A36,'Ejercicio 1'!$M$40:$R$80,6,FALSE))</f>
        <v>52015</v>
      </c>
      <c r="J36" s="139" t="e">
        <f>'Ejercicio 6'!#REF!*(1+VLOOKUP(A36,'Ejercicio 1'!$M$40:$R$80,6,FALSE))</f>
        <v>#REF!</v>
      </c>
      <c r="K36" s="145" t="e">
        <f>'Ejercicio 6'!#REF!*(1+VLOOKUP(A36,'Ejercicio 1'!$M$40:$R$80,6,FALSE))</f>
        <v>#REF!</v>
      </c>
    </row>
    <row r="37" spans="1:11" x14ac:dyDescent="0.25">
      <c r="A37" s="142" t="s">
        <v>2</v>
      </c>
      <c r="B37" s="131">
        <f>+'Ejercicio 6'!$F$31*(1+VLOOKUP(A37,'Ejercicio 1'!$M$40:$R$80,6,FALSE)*$D$2)</f>
        <v>5695.2380952380945</v>
      </c>
      <c r="C37" s="131">
        <f>'Ejercicio 6'!$D$37*(1+VLOOKUP(A37,'Ejercicio 1'!$M$40:$R$80,6,FALSE))</f>
        <v>17500</v>
      </c>
      <c r="D37" s="139">
        <f>+VLOOKUP(A37,'Ejercicio 1'!$M$40:$R$80,2,FALSE)*'Ejercicio 9'!$D$4/'Ejercicio 2'!$C$12</f>
        <v>2054.3478260869565</v>
      </c>
      <c r="E37" s="139">
        <f t="shared" si="0"/>
        <v>25249.585921325051</v>
      </c>
      <c r="F37" s="139">
        <f>'Ejercicio 6'!$B$46*(1+VLOOKUP(A37,'Ejercicio 1'!$M$40:$R$80,6,FALSE))</f>
        <v>52500</v>
      </c>
      <c r="G37" s="139">
        <f>'Ejercicio 6'!$B$47*(1+VLOOKUP(A37,'Ejercicio 1'!$M$40:$R$80,6,FALSE))</f>
        <v>52500</v>
      </c>
      <c r="H37" s="139">
        <f>'Ejercicio 6'!$B$48*(1+VLOOKUP(A37,'Ejercicio 1'!$M$40:$R$80,6,FALSE))</f>
        <v>52500</v>
      </c>
      <c r="I37" s="139">
        <f>'Ejercicio 6'!$B$49*(1+VLOOKUP(A37,'Ejercicio 1'!$M$40:$R$80,6,FALSE))</f>
        <v>52500</v>
      </c>
      <c r="J37" s="139" t="e">
        <f>'Ejercicio 6'!#REF!*(1+VLOOKUP(A37,'Ejercicio 1'!$M$40:$R$80,6,FALSE))</f>
        <v>#REF!</v>
      </c>
      <c r="K37" s="145" t="e">
        <f>'Ejercicio 6'!#REF!*(1+VLOOKUP(A37,'Ejercicio 1'!$M$40:$R$80,6,FALSE))</f>
        <v>#REF!</v>
      </c>
    </row>
    <row r="38" spans="1:11" ht="30" x14ac:dyDescent="0.25">
      <c r="A38" s="142" t="s">
        <v>30</v>
      </c>
      <c r="B38" s="131">
        <f>+'Ejercicio 6'!$F$31*(1+VLOOKUP(A38,'Ejercicio 1'!$M$40:$R$80,6,FALSE)*$D$2)</f>
        <v>5709.100293123809</v>
      </c>
      <c r="C38" s="131">
        <f>'Ejercicio 6'!$D$37*(1+VLOOKUP(A38,'Ejercicio 1'!$M$40:$R$80,6,FALSE))</f>
        <v>17515.550542499997</v>
      </c>
      <c r="D38" s="139">
        <f>+VLOOKUP(A38,'Ejercicio 1'!$M$40:$R$80,2,FALSE)*'Ejercicio 9'!$D$4/'Ejercicio 2'!$C$12</f>
        <v>2056.1733245543473</v>
      </c>
      <c r="E38" s="139">
        <f t="shared" si="0"/>
        <v>25280.824160178152</v>
      </c>
      <c r="F38" s="139">
        <f>'Ejercicio 6'!$B$46*(1+VLOOKUP(A38,'Ejercicio 1'!$M$40:$R$80,6,FALSE))</f>
        <v>52546.651627499996</v>
      </c>
      <c r="G38" s="139">
        <f>'Ejercicio 6'!$B$47*(1+VLOOKUP(A38,'Ejercicio 1'!$M$40:$R$80,6,FALSE))</f>
        <v>52546.651627499996</v>
      </c>
      <c r="H38" s="139">
        <f>'Ejercicio 6'!$B$48*(1+VLOOKUP(A38,'Ejercicio 1'!$M$40:$R$80,6,FALSE))</f>
        <v>52546.651627499996</v>
      </c>
      <c r="I38" s="139">
        <f>'Ejercicio 6'!$B$49*(1+VLOOKUP(A38,'Ejercicio 1'!$M$40:$R$80,6,FALSE))</f>
        <v>52546.651627499996</v>
      </c>
      <c r="J38" s="139" t="e">
        <f>'Ejercicio 6'!#REF!*(1+VLOOKUP(A38,'Ejercicio 1'!$M$40:$R$80,6,FALSE))</f>
        <v>#REF!</v>
      </c>
      <c r="K38" s="145" t="e">
        <f>'Ejercicio 6'!#REF!*(1+VLOOKUP(A38,'Ejercicio 1'!$M$40:$R$80,6,FALSE))</f>
        <v>#REF!</v>
      </c>
    </row>
    <row r="39" spans="1:11" ht="30" x14ac:dyDescent="0.25">
      <c r="A39" s="142" t="s">
        <v>62</v>
      </c>
      <c r="B39" s="131">
        <f>+'Ejercicio 6'!$F$31*(1+VLOOKUP(A39,'Ejercicio 1'!$M$40:$R$80,6,FALSE)*$D$2)</f>
        <v>5554.124952380952</v>
      </c>
      <c r="C39" s="131">
        <f>'Ejercicio 6'!$D$37*(1+VLOOKUP(A39,'Ejercicio 1'!$M$40:$R$80,6,FALSE))</f>
        <v>17341.699999999997</v>
      </c>
      <c r="D39" s="139">
        <f>+VLOOKUP(A39,'Ejercicio 1'!$M$40:$R$80,2,FALSE)*'Ejercicio 9'!$D$4/'Ejercicio 2'!$C$12</f>
        <v>2035.7647826086954</v>
      </c>
      <c r="E39" s="139">
        <f t="shared" si="0"/>
        <v>24931.589734989644</v>
      </c>
      <c r="F39" s="139">
        <f>'Ejercicio 6'!$B$46*(1+VLOOKUP(A39,'Ejercicio 1'!$M$40:$R$80,6,FALSE))</f>
        <v>52025.1</v>
      </c>
      <c r="G39" s="139">
        <f>'Ejercicio 6'!$B$47*(1+VLOOKUP(A39,'Ejercicio 1'!$M$40:$R$80,6,FALSE))</f>
        <v>52025.1</v>
      </c>
      <c r="H39" s="139">
        <f>'Ejercicio 6'!$B$48*(1+VLOOKUP(A39,'Ejercicio 1'!$M$40:$R$80,6,FALSE))</f>
        <v>52025.1</v>
      </c>
      <c r="I39" s="139">
        <f>'Ejercicio 6'!$B$49*(1+VLOOKUP(A39,'Ejercicio 1'!$M$40:$R$80,6,FALSE))</f>
        <v>52025.1</v>
      </c>
      <c r="J39" s="139" t="e">
        <f>'Ejercicio 6'!#REF!*(1+VLOOKUP(A39,'Ejercicio 1'!$M$40:$R$80,6,FALSE))</f>
        <v>#REF!</v>
      </c>
      <c r="K39" s="145" t="e">
        <f>'Ejercicio 6'!#REF!*(1+VLOOKUP(A39,'Ejercicio 1'!$M$40:$R$80,6,FALSE))</f>
        <v>#REF!</v>
      </c>
    </row>
    <row r="40" spans="1:11" x14ac:dyDescent="0.25">
      <c r="A40" s="142" t="s">
        <v>67</v>
      </c>
      <c r="B40" s="131">
        <f>+'Ejercicio 6'!$F$31*(1+VLOOKUP(A40,'Ejercicio 1'!$M$40:$R$80,6,FALSE)*$D$2)</f>
        <v>5401.0666666666666</v>
      </c>
      <c r="C40" s="131">
        <f>'Ejercicio 6'!$D$37*(1+VLOOKUP(A40,'Ejercicio 1'!$M$40:$R$80,6,FALSE))</f>
        <v>17169.999999999996</v>
      </c>
      <c r="D40" s="139">
        <f>+VLOOKUP(A40,'Ejercicio 1'!$M$40:$R$80,2,FALSE)*'Ejercicio 9'!$D$4/'Ejercicio 2'!$C$12</f>
        <v>2015.608695652174</v>
      </c>
      <c r="E40" s="139">
        <f t="shared" si="0"/>
        <v>24586.675362318834</v>
      </c>
      <c r="F40" s="139">
        <f>'Ejercicio 6'!$B$46*(1+VLOOKUP(A40,'Ejercicio 1'!$M$40:$R$80,6,FALSE))</f>
        <v>51510</v>
      </c>
      <c r="G40" s="139">
        <f>'Ejercicio 6'!$B$47*(1+VLOOKUP(A40,'Ejercicio 1'!$M$40:$R$80,6,FALSE))</f>
        <v>51510</v>
      </c>
      <c r="H40" s="139">
        <f>'Ejercicio 6'!$B$48*(1+VLOOKUP(A40,'Ejercicio 1'!$M$40:$R$80,6,FALSE))</f>
        <v>51510</v>
      </c>
      <c r="I40" s="139">
        <f>'Ejercicio 6'!$B$49*(1+VLOOKUP(A40,'Ejercicio 1'!$M$40:$R$80,6,FALSE))</f>
        <v>51510</v>
      </c>
      <c r="J40" s="139" t="e">
        <f>'Ejercicio 6'!#REF!*(1+VLOOKUP(A40,'Ejercicio 1'!$M$40:$R$80,6,FALSE))</f>
        <v>#REF!</v>
      </c>
      <c r="K40" s="145" t="e">
        <f>'Ejercicio 6'!#REF!*(1+VLOOKUP(A40,'Ejercicio 1'!$M$40:$R$80,6,FALSE))</f>
        <v>#REF!</v>
      </c>
    </row>
    <row r="41" spans="1:11" ht="30" x14ac:dyDescent="0.25">
      <c r="A41" s="142" t="s">
        <v>58</v>
      </c>
      <c r="B41" s="131">
        <f>+'Ejercicio 6'!$F$31*(1+VLOOKUP(A41,'Ejercicio 1'!$M$40:$R$80,6,FALSE)*$D$2)</f>
        <v>5101.3238095238094</v>
      </c>
      <c r="C41" s="131">
        <f>'Ejercicio 6'!$D$37*(1+VLOOKUP(A41,'Ejercicio 1'!$M$40:$R$80,6,FALSE))</f>
        <v>16833.749999999996</v>
      </c>
      <c r="D41" s="139">
        <f>+VLOOKUP(A41,'Ejercicio 1'!$M$40:$R$80,2,FALSE)*'Ejercicio 9'!$D$4/'Ejercicio 2'!$C$12</f>
        <v>1995.7989130434778</v>
      </c>
      <c r="E41" s="139">
        <f t="shared" si="0"/>
        <v>23930.872722567281</v>
      </c>
      <c r="F41" s="139">
        <f>'Ejercicio 6'!$B$46*(1+VLOOKUP(A41,'Ejercicio 1'!$M$40:$R$80,6,FALSE))</f>
        <v>50501.25</v>
      </c>
      <c r="G41" s="139">
        <f>'Ejercicio 6'!$B$47*(1+VLOOKUP(A41,'Ejercicio 1'!$M$40:$R$80,6,FALSE))</f>
        <v>50501.25</v>
      </c>
      <c r="H41" s="139">
        <f>'Ejercicio 6'!$B$48*(1+VLOOKUP(A41,'Ejercicio 1'!$M$40:$R$80,6,FALSE))</f>
        <v>50501.25</v>
      </c>
      <c r="I41" s="139">
        <f>'Ejercicio 6'!$B$49*(1+VLOOKUP(A41,'Ejercicio 1'!$M$40:$R$80,6,FALSE))</f>
        <v>50501.25</v>
      </c>
      <c r="J41" s="139" t="e">
        <f>'Ejercicio 6'!#REF!*(1+VLOOKUP(A41,'Ejercicio 1'!$M$40:$R$80,6,FALSE))</f>
        <v>#REF!</v>
      </c>
      <c r="K41" s="145" t="e">
        <f>'Ejercicio 6'!#REF!*(1+VLOOKUP(A41,'Ejercicio 1'!$M$40:$R$80,6,FALSE))</f>
        <v>#REF!</v>
      </c>
    </row>
    <row r="42" spans="1:11" ht="30" x14ac:dyDescent="0.25">
      <c r="A42" s="142" t="s">
        <v>56</v>
      </c>
      <c r="B42" s="131">
        <f>+'Ejercicio 6'!$F$31*(1+VLOOKUP(A42,'Ejercicio 1'!$M$40:$R$80,6,FALSE)*$D$2)</f>
        <v>5101.3238095238094</v>
      </c>
      <c r="C42" s="131">
        <f>'Ejercicio 6'!$D$37*(1+VLOOKUP(A42,'Ejercicio 1'!$M$40:$R$80,6,FALSE))</f>
        <v>16833.749999999996</v>
      </c>
      <c r="D42" s="139">
        <f>+VLOOKUP(A42,'Ejercicio 1'!$M$40:$R$80,2,FALSE)*'Ejercicio 9'!$D$4/'Ejercicio 2'!$C$12</f>
        <v>1995.7989130434778</v>
      </c>
      <c r="E42" s="139">
        <f t="shared" si="0"/>
        <v>23930.872722567281</v>
      </c>
      <c r="F42" s="139">
        <f>'Ejercicio 6'!$B$46*(1+VLOOKUP(A42,'Ejercicio 1'!$M$40:$R$80,6,FALSE))</f>
        <v>50501.25</v>
      </c>
      <c r="G42" s="139">
        <f>'Ejercicio 6'!$B$47*(1+VLOOKUP(A42,'Ejercicio 1'!$M$40:$R$80,6,FALSE))</f>
        <v>50501.25</v>
      </c>
      <c r="H42" s="139">
        <f>'Ejercicio 6'!$B$48*(1+VLOOKUP(A42,'Ejercicio 1'!$M$40:$R$80,6,FALSE))</f>
        <v>50501.25</v>
      </c>
      <c r="I42" s="139">
        <f>'Ejercicio 6'!$B$49*(1+VLOOKUP(A42,'Ejercicio 1'!$M$40:$R$80,6,FALSE))</f>
        <v>50501.25</v>
      </c>
      <c r="J42" s="139" t="e">
        <f>'Ejercicio 6'!#REF!*(1+VLOOKUP(A42,'Ejercicio 1'!$M$40:$R$80,6,FALSE))</f>
        <v>#REF!</v>
      </c>
      <c r="K42" s="145" t="e">
        <f>'Ejercicio 6'!#REF!*(1+VLOOKUP(A42,'Ejercicio 1'!$M$40:$R$80,6,FALSE))</f>
        <v>#REF!</v>
      </c>
    </row>
    <row r="43" spans="1:11" ht="30" x14ac:dyDescent="0.25">
      <c r="A43" s="142" t="s">
        <v>78</v>
      </c>
      <c r="B43" s="131">
        <f>+'Ejercicio 6'!$F$31*(1+VLOOKUP(A43,'Ejercicio 1'!$M$40:$R$80,6,FALSE)*$D$2)</f>
        <v>5101.3238095238094</v>
      </c>
      <c r="C43" s="131">
        <f>'Ejercicio 6'!$D$37*(1+VLOOKUP(A43,'Ejercicio 1'!$M$40:$R$80,6,FALSE))</f>
        <v>16833.749999999996</v>
      </c>
      <c r="D43" s="139">
        <f>+VLOOKUP(A43,'Ejercicio 1'!$M$40:$R$80,2,FALSE)*'Ejercicio 9'!$D$4/'Ejercicio 2'!$C$12</f>
        <v>1995.7989130434778</v>
      </c>
      <c r="E43" s="139">
        <f t="shared" si="0"/>
        <v>23930.872722567281</v>
      </c>
      <c r="F43" s="139">
        <f>'Ejercicio 6'!$B$46*(1+VLOOKUP(A43,'Ejercicio 1'!$M$40:$R$80,6,FALSE))</f>
        <v>50501.25</v>
      </c>
      <c r="G43" s="139">
        <f>'Ejercicio 6'!$B$47*(1+VLOOKUP(A43,'Ejercicio 1'!$M$40:$R$80,6,FALSE))</f>
        <v>50501.25</v>
      </c>
      <c r="H43" s="139">
        <f>'Ejercicio 6'!$B$48*(1+VLOOKUP(A43,'Ejercicio 1'!$M$40:$R$80,6,FALSE))</f>
        <v>50501.25</v>
      </c>
      <c r="I43" s="139">
        <f>'Ejercicio 6'!$B$49*(1+VLOOKUP(A43,'Ejercicio 1'!$M$40:$R$80,6,FALSE))</f>
        <v>50501.25</v>
      </c>
      <c r="J43" s="139" t="e">
        <f>'Ejercicio 6'!#REF!*(1+VLOOKUP(A43,'Ejercicio 1'!$M$40:$R$80,6,FALSE))</f>
        <v>#REF!</v>
      </c>
      <c r="K43" s="145" t="e">
        <f>'Ejercicio 6'!#REF!*(1+VLOOKUP(A43,'Ejercicio 1'!$M$40:$R$80,6,FALSE))</f>
        <v>#REF!</v>
      </c>
    </row>
    <row r="44" spans="1:11" ht="30" x14ac:dyDescent="0.25">
      <c r="A44" s="142" t="s">
        <v>77</v>
      </c>
      <c r="B44" s="131">
        <f>+'Ejercicio 6'!$F$31*(1+VLOOKUP(A44,'Ejercicio 1'!$M$40:$R$80,6,FALSE)*$D$2)</f>
        <v>5101.3238095238094</v>
      </c>
      <c r="C44" s="131">
        <f>'Ejercicio 6'!$D$37*(1+VLOOKUP(A44,'Ejercicio 1'!$M$40:$R$80,6,FALSE))</f>
        <v>16833.749999999996</v>
      </c>
      <c r="D44" s="139">
        <f>+VLOOKUP(A44,'Ejercicio 1'!$M$40:$R$80,2,FALSE)*'Ejercicio 9'!$D$4/'Ejercicio 2'!$C$12</f>
        <v>1995.7989130434778</v>
      </c>
      <c r="E44" s="139">
        <f t="shared" si="0"/>
        <v>23930.872722567281</v>
      </c>
      <c r="F44" s="139">
        <f>'Ejercicio 6'!$B$46*(1+VLOOKUP(A44,'Ejercicio 1'!$M$40:$R$80,6,FALSE))</f>
        <v>50501.25</v>
      </c>
      <c r="G44" s="139">
        <f>'Ejercicio 6'!$B$47*(1+VLOOKUP(A44,'Ejercicio 1'!$M$40:$R$80,6,FALSE))</f>
        <v>50501.25</v>
      </c>
      <c r="H44" s="139">
        <f>'Ejercicio 6'!$B$48*(1+VLOOKUP(A44,'Ejercicio 1'!$M$40:$R$80,6,FALSE))</f>
        <v>50501.25</v>
      </c>
      <c r="I44" s="139">
        <f>'Ejercicio 6'!$B$49*(1+VLOOKUP(A44,'Ejercicio 1'!$M$40:$R$80,6,FALSE))</f>
        <v>50501.25</v>
      </c>
      <c r="J44" s="139" t="e">
        <f>'Ejercicio 6'!#REF!*(1+VLOOKUP(A44,'Ejercicio 1'!$M$40:$R$80,6,FALSE))</f>
        <v>#REF!</v>
      </c>
      <c r="K44" s="145" t="e">
        <f>'Ejercicio 6'!#REF!*(1+VLOOKUP(A44,'Ejercicio 1'!$M$40:$R$80,6,FALSE))</f>
        <v>#REF!</v>
      </c>
    </row>
    <row r="45" spans="1:11" ht="30" x14ac:dyDescent="0.25">
      <c r="A45" s="142" t="s">
        <v>79</v>
      </c>
      <c r="B45" s="131">
        <f>+'Ejercicio 6'!$F$31*(1+VLOOKUP(A45,'Ejercicio 1'!$M$40:$R$80,6,FALSE)*$D$2)</f>
        <v>5101.3238095238094</v>
      </c>
      <c r="C45" s="131">
        <f>'Ejercicio 6'!$D$37*(1+VLOOKUP(A45,'Ejercicio 1'!$M$40:$R$80,6,FALSE))</f>
        <v>16833.749999999996</v>
      </c>
      <c r="D45" s="139">
        <f>+VLOOKUP(A45,'Ejercicio 1'!$M$40:$R$80,2,FALSE)*'Ejercicio 9'!$D$4/'Ejercicio 2'!$C$12</f>
        <v>1995.7989130434778</v>
      </c>
      <c r="E45" s="139">
        <f t="shared" si="0"/>
        <v>23930.872722567281</v>
      </c>
      <c r="F45" s="139">
        <f>'Ejercicio 6'!$B$46*(1+VLOOKUP(A45,'Ejercicio 1'!$M$40:$R$80,6,FALSE))</f>
        <v>50501.25</v>
      </c>
      <c r="G45" s="139">
        <f>'Ejercicio 6'!$B$47*(1+VLOOKUP(A45,'Ejercicio 1'!$M$40:$R$80,6,FALSE))</f>
        <v>50501.25</v>
      </c>
      <c r="H45" s="139">
        <f>'Ejercicio 6'!$B$48*(1+VLOOKUP(A45,'Ejercicio 1'!$M$40:$R$80,6,FALSE))</f>
        <v>50501.25</v>
      </c>
      <c r="I45" s="139">
        <f>'Ejercicio 6'!$B$49*(1+VLOOKUP(A45,'Ejercicio 1'!$M$40:$R$80,6,FALSE))</f>
        <v>50501.25</v>
      </c>
      <c r="J45" s="139" t="e">
        <f>'Ejercicio 6'!#REF!*(1+VLOOKUP(A45,'Ejercicio 1'!$M$40:$R$80,6,FALSE))</f>
        <v>#REF!</v>
      </c>
      <c r="K45" s="145" t="e">
        <f>'Ejercicio 6'!#REF!*(1+VLOOKUP(A45,'Ejercicio 1'!$M$40:$R$80,6,FALSE))</f>
        <v>#REF!</v>
      </c>
    </row>
    <row r="46" spans="1:11" ht="30" x14ac:dyDescent="0.25">
      <c r="A46" s="142" t="s">
        <v>59</v>
      </c>
      <c r="B46" s="131">
        <f>+'Ejercicio 6'!$F$31*(1+VLOOKUP(A46,'Ejercicio 1'!$M$40:$R$80,6,FALSE)*$D$2)</f>
        <v>5101.3238095238094</v>
      </c>
      <c r="C46" s="131">
        <f>'Ejercicio 6'!$D$37*(1+VLOOKUP(A46,'Ejercicio 1'!$M$40:$R$80,6,FALSE))</f>
        <v>16833.749999999996</v>
      </c>
      <c r="D46" s="139">
        <f>+VLOOKUP(A46,'Ejercicio 1'!$M$40:$R$80,2,FALSE)*'Ejercicio 9'!$D$4/'Ejercicio 2'!$C$12</f>
        <v>1995.7989130434778</v>
      </c>
      <c r="E46" s="139">
        <f t="shared" si="0"/>
        <v>23930.872722567281</v>
      </c>
      <c r="F46" s="139">
        <f>'Ejercicio 6'!$B$46*(1+VLOOKUP(A46,'Ejercicio 1'!$M$40:$R$80,6,FALSE))</f>
        <v>50501.25</v>
      </c>
      <c r="G46" s="139">
        <f>'Ejercicio 6'!$B$47*(1+VLOOKUP(A46,'Ejercicio 1'!$M$40:$R$80,6,FALSE))</f>
        <v>50501.25</v>
      </c>
      <c r="H46" s="139">
        <f>'Ejercicio 6'!$B$48*(1+VLOOKUP(A46,'Ejercicio 1'!$M$40:$R$80,6,FALSE))</f>
        <v>50501.25</v>
      </c>
      <c r="I46" s="139">
        <f>'Ejercicio 6'!$B$49*(1+VLOOKUP(A46,'Ejercicio 1'!$M$40:$R$80,6,FALSE))</f>
        <v>50501.25</v>
      </c>
      <c r="J46" s="139" t="e">
        <f>'Ejercicio 6'!#REF!*(1+VLOOKUP(A46,'Ejercicio 1'!$M$40:$R$80,6,FALSE))</f>
        <v>#REF!</v>
      </c>
      <c r="K46" s="145" t="e">
        <f>'Ejercicio 6'!#REF!*(1+VLOOKUP(A46,'Ejercicio 1'!$M$40:$R$80,6,FALSE))</f>
        <v>#REF!</v>
      </c>
    </row>
    <row r="47" spans="1:11" ht="30" x14ac:dyDescent="0.25">
      <c r="A47" s="142" t="s">
        <v>75</v>
      </c>
      <c r="B47" s="131">
        <f>+'Ejercicio 6'!$F$31*(1+VLOOKUP(A47,'Ejercicio 1'!$M$40:$R$80,6,FALSE)*$D$2)</f>
        <v>5101.3238095238094</v>
      </c>
      <c r="C47" s="131">
        <f>'Ejercicio 6'!$D$37*(1+VLOOKUP(A47,'Ejercicio 1'!$M$40:$R$80,6,FALSE))</f>
        <v>16833.749999999996</v>
      </c>
      <c r="D47" s="139">
        <f>+VLOOKUP(A47,'Ejercicio 1'!$M$40:$R$80,2,FALSE)*'Ejercicio 9'!$D$4/'Ejercicio 2'!$C$12</f>
        <v>1995.7989130434778</v>
      </c>
      <c r="E47" s="139">
        <f t="shared" si="0"/>
        <v>23930.872722567281</v>
      </c>
      <c r="F47" s="139">
        <f>'Ejercicio 6'!$B$46*(1+VLOOKUP(A47,'Ejercicio 1'!$M$40:$R$80,6,FALSE))</f>
        <v>50501.25</v>
      </c>
      <c r="G47" s="139">
        <f>'Ejercicio 6'!$B$47*(1+VLOOKUP(A47,'Ejercicio 1'!$M$40:$R$80,6,FALSE))</f>
        <v>50501.25</v>
      </c>
      <c r="H47" s="139">
        <f>'Ejercicio 6'!$B$48*(1+VLOOKUP(A47,'Ejercicio 1'!$M$40:$R$80,6,FALSE))</f>
        <v>50501.25</v>
      </c>
      <c r="I47" s="139">
        <f>'Ejercicio 6'!$B$49*(1+VLOOKUP(A47,'Ejercicio 1'!$M$40:$R$80,6,FALSE))</f>
        <v>50501.25</v>
      </c>
      <c r="J47" s="139" t="e">
        <f>'Ejercicio 6'!#REF!*(1+VLOOKUP(A47,'Ejercicio 1'!$M$40:$R$80,6,FALSE))</f>
        <v>#REF!</v>
      </c>
      <c r="K47" s="145" t="e">
        <f>'Ejercicio 6'!#REF!*(1+VLOOKUP(A47,'Ejercicio 1'!$M$40:$R$80,6,FALSE))</f>
        <v>#REF!</v>
      </c>
    </row>
    <row r="48" spans="1:11" ht="30" x14ac:dyDescent="0.25">
      <c r="A48" s="142" t="s">
        <v>76</v>
      </c>
      <c r="B48" s="131">
        <f>+'Ejercicio 6'!$F$31*(1+VLOOKUP(A48,'Ejercicio 1'!$M$40:$R$80,6,FALSE)*$D$2)</f>
        <v>5101.3238095238094</v>
      </c>
      <c r="C48" s="131">
        <f>'Ejercicio 6'!$D$37*(1+VLOOKUP(A48,'Ejercicio 1'!$M$40:$R$80,6,FALSE))</f>
        <v>16833.749999999996</v>
      </c>
      <c r="D48" s="139">
        <f>+VLOOKUP(A48,'Ejercicio 1'!$M$40:$R$80,2,FALSE)*'Ejercicio 9'!$D$4/'Ejercicio 2'!$C$12</f>
        <v>1995.7989130434778</v>
      </c>
      <c r="E48" s="139">
        <f t="shared" si="0"/>
        <v>23930.872722567281</v>
      </c>
      <c r="F48" s="139">
        <f>'Ejercicio 6'!$B$46*(1+VLOOKUP(A48,'Ejercicio 1'!$M$40:$R$80,6,FALSE))</f>
        <v>50501.25</v>
      </c>
      <c r="G48" s="139">
        <f>'Ejercicio 6'!$B$47*(1+VLOOKUP(A48,'Ejercicio 1'!$M$40:$R$80,6,FALSE))</f>
        <v>50501.25</v>
      </c>
      <c r="H48" s="139">
        <f>'Ejercicio 6'!$B$48*(1+VLOOKUP(A48,'Ejercicio 1'!$M$40:$R$80,6,FALSE))</f>
        <v>50501.25</v>
      </c>
      <c r="I48" s="139">
        <f>'Ejercicio 6'!$B$49*(1+VLOOKUP(A48,'Ejercicio 1'!$M$40:$R$80,6,FALSE))</f>
        <v>50501.25</v>
      </c>
      <c r="J48" s="139" t="e">
        <f>'Ejercicio 6'!#REF!*(1+VLOOKUP(A48,'Ejercicio 1'!$M$40:$R$80,6,FALSE))</f>
        <v>#REF!</v>
      </c>
      <c r="K48" s="145" t="e">
        <f>'Ejercicio 6'!#REF!*(1+VLOOKUP(A48,'Ejercicio 1'!$M$40:$R$80,6,FALSE))</f>
        <v>#REF!</v>
      </c>
    </row>
    <row r="49" spans="1:11" ht="30" x14ac:dyDescent="0.25">
      <c r="A49" s="142" t="s">
        <v>72</v>
      </c>
      <c r="B49" s="131">
        <f>+'Ejercicio 6'!$F$31*(1+VLOOKUP(A49,'Ejercicio 1'!$M$40:$R$80,6,FALSE)*$D$2)</f>
        <v>5101.3238095238094</v>
      </c>
      <c r="C49" s="131">
        <f>'Ejercicio 6'!$D$37*(1+VLOOKUP(A49,'Ejercicio 1'!$M$40:$R$80,6,FALSE))</f>
        <v>16833.749999999996</v>
      </c>
      <c r="D49" s="139">
        <f>+VLOOKUP(A49,'Ejercicio 1'!$M$40:$R$80,2,FALSE)*'Ejercicio 9'!$D$4/'Ejercicio 2'!$C$12</f>
        <v>1995.7989130434778</v>
      </c>
      <c r="E49" s="139">
        <f t="shared" si="0"/>
        <v>23930.872722567281</v>
      </c>
      <c r="F49" s="139">
        <f>'Ejercicio 6'!$B$46*(1+VLOOKUP(A49,'Ejercicio 1'!$M$40:$R$80,6,FALSE))</f>
        <v>50501.25</v>
      </c>
      <c r="G49" s="139">
        <f>'Ejercicio 6'!$B$47*(1+VLOOKUP(A49,'Ejercicio 1'!$M$40:$R$80,6,FALSE))</f>
        <v>50501.25</v>
      </c>
      <c r="H49" s="139">
        <f>'Ejercicio 6'!$B$48*(1+VLOOKUP(A49,'Ejercicio 1'!$M$40:$R$80,6,FALSE))</f>
        <v>50501.25</v>
      </c>
      <c r="I49" s="139">
        <f>'Ejercicio 6'!$B$49*(1+VLOOKUP(A49,'Ejercicio 1'!$M$40:$R$80,6,FALSE))</f>
        <v>50501.25</v>
      </c>
      <c r="J49" s="139" t="e">
        <f>'Ejercicio 6'!#REF!*(1+VLOOKUP(A49,'Ejercicio 1'!$M$40:$R$80,6,FALSE))</f>
        <v>#REF!</v>
      </c>
      <c r="K49" s="145" t="e">
        <f>'Ejercicio 6'!#REF!*(1+VLOOKUP(A49,'Ejercicio 1'!$M$40:$R$80,6,FALSE))</f>
        <v>#REF!</v>
      </c>
    </row>
    <row r="50" spans="1:11" x14ac:dyDescent="0.25">
      <c r="A50" s="142" t="s">
        <v>36</v>
      </c>
      <c r="B50" s="131">
        <f>+'Ejercicio 6'!$F$31*(1+VLOOKUP(A50,'Ejercicio 1'!$M$40:$R$80,6,FALSE)*$D$2)</f>
        <v>5175.9809523809527</v>
      </c>
      <c r="C50" s="131">
        <f>'Ejercicio 6'!$D$37*(1+VLOOKUP(A50,'Ejercicio 1'!$M$40:$R$80,6,FALSE))</f>
        <v>16917.499999999996</v>
      </c>
      <c r="D50" s="139">
        <f>+VLOOKUP(A50,'Ejercicio 1'!$M$40:$R$80,2,FALSE)*'Ejercicio 9'!$D$4/'Ejercicio 2'!$C$12</f>
        <v>1985.9673913043475</v>
      </c>
      <c r="E50" s="139">
        <f t="shared" si="0"/>
        <v>24079.448343685297</v>
      </c>
      <c r="F50" s="139">
        <f>'Ejercicio 6'!$B$46*(1+VLOOKUP(A50,'Ejercicio 1'!$M$40:$R$80,6,FALSE))</f>
        <v>50752.5</v>
      </c>
      <c r="G50" s="139">
        <f>'Ejercicio 6'!$B$47*(1+VLOOKUP(A50,'Ejercicio 1'!$M$40:$R$80,6,FALSE))</f>
        <v>50752.5</v>
      </c>
      <c r="H50" s="139">
        <f>'Ejercicio 6'!$B$48*(1+VLOOKUP(A50,'Ejercicio 1'!$M$40:$R$80,6,FALSE))</f>
        <v>50752.5</v>
      </c>
      <c r="I50" s="139">
        <f>'Ejercicio 6'!$B$49*(1+VLOOKUP(A50,'Ejercicio 1'!$M$40:$R$80,6,FALSE))</f>
        <v>50752.5</v>
      </c>
      <c r="J50" s="139" t="e">
        <f>'Ejercicio 6'!#REF!*(1+VLOOKUP(A50,'Ejercicio 1'!$M$40:$R$80,6,FALSE))</f>
        <v>#REF!</v>
      </c>
      <c r="K50" s="145" t="e">
        <f>'Ejercicio 6'!#REF!*(1+VLOOKUP(A50,'Ejercicio 1'!$M$40:$R$80,6,FALSE))</f>
        <v>#REF!</v>
      </c>
    </row>
    <row r="51" spans="1:11" ht="30.75" thickBot="1" x14ac:dyDescent="0.3">
      <c r="A51" s="143" t="s">
        <v>53</v>
      </c>
      <c r="B51" s="137">
        <f>+'Ejercicio 6'!$F$31*(1+VLOOKUP(A51,'Ejercicio 1'!$M$40:$R$80,6,FALSE)*$D$2)</f>
        <v>5101.3238095238094</v>
      </c>
      <c r="C51" s="137">
        <f>'Ejercicio 6'!$D$37*(1+VLOOKUP(A51,'Ejercicio 1'!$M$40:$R$80,6,FALSE))</f>
        <v>16833.749999999996</v>
      </c>
      <c r="D51" s="140">
        <f>+VLOOKUP(A51,'Ejercicio 1'!$M$40:$R$80,2,FALSE)*'Ejercicio 9'!$D$4/'Ejercicio 2'!$C$12</f>
        <v>1995.7989130434778</v>
      </c>
      <c r="E51" s="140">
        <f t="shared" si="0"/>
        <v>23930.872722567281</v>
      </c>
      <c r="F51" s="140">
        <f>'Ejercicio 6'!$B$46*(1+VLOOKUP(A51,'Ejercicio 1'!$M$40:$R$80,6,FALSE))</f>
        <v>50501.25</v>
      </c>
      <c r="G51" s="140">
        <f>'Ejercicio 6'!$B$47*(1+VLOOKUP(A51,'Ejercicio 1'!$M$40:$R$80,6,FALSE))</f>
        <v>50501.25</v>
      </c>
      <c r="H51" s="140">
        <f>'Ejercicio 6'!$B$48*(1+VLOOKUP(A51,'Ejercicio 1'!$M$40:$R$80,6,FALSE))</f>
        <v>50501.25</v>
      </c>
      <c r="I51" s="140">
        <f>'Ejercicio 6'!$B$49*(1+VLOOKUP(A51,'Ejercicio 1'!$M$40:$R$80,6,FALSE))</f>
        <v>50501.25</v>
      </c>
      <c r="J51" s="140" t="e">
        <f>'Ejercicio 6'!#REF!*(1+VLOOKUP(A51,'Ejercicio 1'!$M$40:$R$80,6,FALSE))</f>
        <v>#REF!</v>
      </c>
      <c r="K51" s="146" t="e">
        <f>'Ejercicio 6'!#REF!*(1+VLOOKUP(A51,'Ejercicio 1'!$M$40:$R$80,6,FALSE))</f>
        <v>#REF!</v>
      </c>
    </row>
    <row r="52" spans="1:11" ht="15.75" thickBot="1" x14ac:dyDescent="0.3"/>
    <row r="53" spans="1:11" ht="15.75" thickBot="1" x14ac:dyDescent="0.3">
      <c r="B53" s="286" t="s">
        <v>82</v>
      </c>
      <c r="C53" s="287"/>
      <c r="D53" s="287"/>
      <c r="E53" s="288"/>
      <c r="F53" s="277" t="s">
        <v>83</v>
      </c>
      <c r="G53" s="277" t="s">
        <v>84</v>
      </c>
      <c r="H53" s="277" t="s">
        <v>85</v>
      </c>
      <c r="I53" s="277" t="s">
        <v>86</v>
      </c>
      <c r="J53" s="172"/>
      <c r="K53" s="172"/>
    </row>
    <row r="54" spans="1:11" ht="15.75" thickBot="1" x14ac:dyDescent="0.3">
      <c r="B54" s="280" t="s">
        <v>244</v>
      </c>
      <c r="C54" s="281"/>
      <c r="D54" s="282" t="s">
        <v>245</v>
      </c>
      <c r="E54" s="284" t="s">
        <v>240</v>
      </c>
      <c r="F54" s="278"/>
      <c r="G54" s="278"/>
      <c r="H54" s="278"/>
      <c r="I54" s="278"/>
      <c r="J54" s="172"/>
      <c r="K54" s="172"/>
    </row>
    <row r="55" spans="1:11" ht="30.75" thickBot="1" x14ac:dyDescent="0.3">
      <c r="B55" s="153" t="s">
        <v>236</v>
      </c>
      <c r="C55" s="154" t="s">
        <v>237</v>
      </c>
      <c r="D55" s="283"/>
      <c r="E55" s="285"/>
      <c r="F55" s="279"/>
      <c r="G55" s="279"/>
      <c r="H55" s="279"/>
      <c r="I55" s="279"/>
      <c r="J55" s="172"/>
      <c r="K55" s="172"/>
    </row>
    <row r="56" spans="1:11" x14ac:dyDescent="0.25">
      <c r="A56" s="213" t="s">
        <v>279</v>
      </c>
      <c r="B56" s="123">
        <f>+MAX(B12:B51)</f>
        <v>5709.100293123809</v>
      </c>
      <c r="C56" s="123">
        <f>+MAX(C12:C51)</f>
        <v>17515.550542499997</v>
      </c>
      <c r="D56" s="123">
        <f>+MAX(D12:D51)</f>
        <v>2056.1733245543473</v>
      </c>
      <c r="E56" s="123">
        <f t="shared" ref="E56:K56" si="1">+MAX(E12:E51)</f>
        <v>25280.824160178152</v>
      </c>
      <c r="F56" s="123">
        <f t="shared" si="1"/>
        <v>52546.651627499996</v>
      </c>
      <c r="G56" s="123">
        <f t="shared" si="1"/>
        <v>52546.651627499996</v>
      </c>
      <c r="H56" s="123">
        <f t="shared" si="1"/>
        <v>52546.651627499996</v>
      </c>
      <c r="I56" s="123">
        <f t="shared" si="1"/>
        <v>52546.651627499996</v>
      </c>
      <c r="J56" s="172"/>
      <c r="K56" s="172"/>
    </row>
  </sheetData>
  <mergeCells count="18">
    <mergeCell ref="J9:J11"/>
    <mergeCell ref="K9:K11"/>
    <mergeCell ref="B9:E9"/>
    <mergeCell ref="D10:D11"/>
    <mergeCell ref="B10:C10"/>
    <mergeCell ref="E10:E11"/>
    <mergeCell ref="F9:F11"/>
    <mergeCell ref="G9:G11"/>
    <mergeCell ref="H9:H11"/>
    <mergeCell ref="I9:I11"/>
    <mergeCell ref="B54:C54"/>
    <mergeCell ref="D54:D55"/>
    <mergeCell ref="E54:E55"/>
    <mergeCell ref="B53:E53"/>
    <mergeCell ref="F53:F55"/>
    <mergeCell ref="G53:G55"/>
    <mergeCell ref="H53:H55"/>
    <mergeCell ref="I53:I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Ejercicio 1</vt:lpstr>
      <vt:lpstr>Ejercicio 2</vt:lpstr>
      <vt:lpstr>Ejercicio 3</vt:lpstr>
      <vt:lpstr>Ejercicio 4</vt:lpstr>
      <vt:lpstr>Ejercicio 5</vt:lpstr>
      <vt:lpstr>Ejercicio 6</vt:lpstr>
      <vt:lpstr>Ejercicio 7</vt:lpstr>
      <vt:lpstr>Ejercicio 8</vt:lpstr>
      <vt:lpstr>Ejercicio 9</vt:lpstr>
      <vt:lpstr>Ejercicio 10</vt:lpstr>
      <vt:lpstr>Ejercicio 11</vt:lpstr>
      <vt:lpstr>Cronograma Ejecucion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2018-09-17T02:03:28Z</dcterms:created>
  <dcterms:modified xsi:type="dcterms:W3CDTF">2018-10-21T00:36:13Z</dcterms:modified>
</cp:coreProperties>
</file>