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Santiago\Documents\PCP\"/>
    </mc:Choice>
  </mc:AlternateContent>
  <xr:revisionPtr revIDLastSave="0" documentId="8_{8F8D0383-B75B-401B-A749-DF828893FE16}" xr6:coauthVersionLast="40" xr6:coauthVersionMax="40" xr10:uidLastSave="{00000000-0000-0000-0000-000000000000}"/>
  <bookViews>
    <workbookView xWindow="0" yWindow="0" windowWidth="24000" windowHeight="10920" firstSheet="3" activeTab="15" xr2:uid="{00000000-000D-0000-FFFF-FFFF00000000}"/>
  </bookViews>
  <sheets>
    <sheet name="InfoInicial" sheetId="1" r:id="rId1"/>
    <sheet name="Calculos auxiliares" sheetId="2" r:id="rId2"/>
    <sheet name="E-Inv AF y Am" sheetId="4" r:id="rId3"/>
    <sheet name="E-Costos" sheetId="3" r:id="rId4"/>
    <sheet name="E-InvAT" sheetId="5" r:id="rId5"/>
    <sheet name="E-IVA " sheetId="6" r:id="rId6"/>
    <sheet name="E-Cal Inv." sheetId="7" r:id="rId7"/>
    <sheet name="E-Form" sheetId="8" r:id="rId8"/>
    <sheet name="Apertura Financiera" sheetId="9" r:id="rId9"/>
    <sheet name="F-Cred" sheetId="10" r:id="rId10"/>
    <sheet name="F-CRes" sheetId="11" r:id="rId11"/>
    <sheet name="F-2 Estructura" sheetId="12" r:id="rId12"/>
    <sheet name="F-IVA" sheetId="13" r:id="rId13"/>
    <sheet name="F- CFyU" sheetId="14" r:id="rId14"/>
    <sheet name="F-Balance" sheetId="15" r:id="rId15"/>
    <sheet name="F- Form" sheetId="16" r:id="rId16"/>
  </sheets>
  <calcPr calcId="181029"/>
</workbook>
</file>

<file path=xl/calcChain.xml><?xml version="1.0" encoding="utf-8"?>
<calcChain xmlns="http://schemas.openxmlformats.org/spreadsheetml/2006/main">
  <c r="N35" i="16" l="1"/>
  <c r="D29" i="16"/>
  <c r="D28" i="16"/>
  <c r="C28" i="16"/>
  <c r="D27" i="16"/>
  <c r="C27" i="16"/>
  <c r="D26" i="16"/>
  <c r="C26" i="16"/>
  <c r="D25" i="16"/>
  <c r="D24" i="16"/>
  <c r="F24" i="16" s="1"/>
  <c r="G1" i="16"/>
  <c r="G23" i="15"/>
  <c r="G11" i="15"/>
  <c r="B9" i="15"/>
  <c r="E1" i="15"/>
  <c r="B27" i="14"/>
  <c r="B28" i="14" s="1"/>
  <c r="H22" i="14"/>
  <c r="H20" i="14"/>
  <c r="B11" i="14"/>
  <c r="C9" i="14"/>
  <c r="E1" i="14"/>
  <c r="E1" i="13"/>
  <c r="B29" i="12"/>
  <c r="B8" i="14" s="1"/>
  <c r="B13" i="12"/>
  <c r="D1" i="12"/>
  <c r="F1" i="11"/>
  <c r="I27" i="10"/>
  <c r="I26" i="10"/>
  <c r="E26" i="10"/>
  <c r="I25" i="10"/>
  <c r="I24" i="10"/>
  <c r="E24" i="10"/>
  <c r="I23" i="10"/>
  <c r="I22" i="10"/>
  <c r="E22" i="10"/>
  <c r="I21" i="10"/>
  <c r="I20" i="10"/>
  <c r="E20" i="10"/>
  <c r="I19" i="10"/>
  <c r="E18" i="10"/>
  <c r="E15" i="10"/>
  <c r="F1" i="10"/>
  <c r="B63" i="9"/>
  <c r="B3" i="9"/>
  <c r="G1" i="8"/>
  <c r="H21" i="7"/>
  <c r="G21" i="7"/>
  <c r="F21" i="7"/>
  <c r="E21" i="7"/>
  <c r="B7" i="7"/>
  <c r="B8" i="7" s="1"/>
  <c r="B21" i="7" s="1"/>
  <c r="G1" i="7"/>
  <c r="G1" i="6"/>
  <c r="C52" i="5"/>
  <c r="B33" i="5"/>
  <c r="B32" i="5"/>
  <c r="E1" i="5"/>
  <c r="C53" i="4"/>
  <c r="C50" i="4"/>
  <c r="C49" i="4"/>
  <c r="C48" i="4"/>
  <c r="C47" i="4"/>
  <c r="C46" i="4"/>
  <c r="C45" i="4"/>
  <c r="C44" i="4"/>
  <c r="B44" i="4"/>
  <c r="B27" i="4"/>
  <c r="B8" i="4"/>
  <c r="B9" i="4" s="1"/>
  <c r="B45" i="4" s="1"/>
  <c r="E1" i="4"/>
  <c r="E159" i="3"/>
  <c r="D88" i="3"/>
  <c r="B88" i="3"/>
  <c r="F270" i="2" s="1"/>
  <c r="F87" i="3"/>
  <c r="E78" i="12" s="1"/>
  <c r="E87" i="3"/>
  <c r="E88" i="3" s="1"/>
  <c r="D87" i="3"/>
  <c r="C87" i="3"/>
  <c r="C88" i="3" s="1"/>
  <c r="B87" i="3"/>
  <c r="E155" i="3" s="1"/>
  <c r="B57" i="3"/>
  <c r="F14" i="3"/>
  <c r="E14" i="3"/>
  <c r="D14" i="3"/>
  <c r="C14" i="3"/>
  <c r="B14" i="3"/>
  <c r="E3" i="3"/>
  <c r="F282" i="2"/>
  <c r="E57" i="3" s="1"/>
  <c r="I248" i="2"/>
  <c r="F235" i="2"/>
  <c r="F236" i="2" s="1"/>
  <c r="H231" i="2"/>
  <c r="K230" i="2"/>
  <c r="J230" i="2"/>
  <c r="L230" i="2" s="1"/>
  <c r="G230" i="2"/>
  <c r="K229" i="2"/>
  <c r="J229" i="2"/>
  <c r="G229" i="2"/>
  <c r="K228" i="2"/>
  <c r="L228" i="2" s="1"/>
  <c r="J228" i="2"/>
  <c r="G228" i="2"/>
  <c r="K227" i="2"/>
  <c r="J227" i="2"/>
  <c r="L227" i="2" s="1"/>
  <c r="G227" i="2"/>
  <c r="K226" i="2"/>
  <c r="L226" i="2" s="1"/>
  <c r="J226" i="2"/>
  <c r="G226" i="2"/>
  <c r="F219" i="2"/>
  <c r="F215" i="2"/>
  <c r="J82" i="2" s="1"/>
  <c r="F213" i="2"/>
  <c r="F212" i="2"/>
  <c r="F101" i="3" s="1"/>
  <c r="F211" i="2"/>
  <c r="I249" i="2" s="1"/>
  <c r="F210" i="2"/>
  <c r="B101" i="3" s="1"/>
  <c r="I200" i="2"/>
  <c r="I201" i="2" s="1"/>
  <c r="G200" i="2"/>
  <c r="L192" i="2" s="1"/>
  <c r="H199" i="2"/>
  <c r="H198" i="2"/>
  <c r="H197" i="2"/>
  <c r="H196" i="2"/>
  <c r="H195" i="2"/>
  <c r="H194" i="2"/>
  <c r="H193" i="2"/>
  <c r="H192" i="2"/>
  <c r="H191" i="2"/>
  <c r="L190" i="2"/>
  <c r="G181" i="2"/>
  <c r="L173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I132" i="2"/>
  <c r="H132" i="2"/>
  <c r="J132" i="2" s="1"/>
  <c r="K132" i="2" s="1"/>
  <c r="I131" i="2"/>
  <c r="H131" i="2"/>
  <c r="I130" i="2"/>
  <c r="H130" i="2"/>
  <c r="J130" i="2" s="1"/>
  <c r="K130" i="2" s="1"/>
  <c r="I123" i="2"/>
  <c r="H123" i="2"/>
  <c r="J123" i="2" s="1"/>
  <c r="K123" i="2" s="1"/>
  <c r="I122" i="2"/>
  <c r="H122" i="2"/>
  <c r="I121" i="2"/>
  <c r="H121" i="2"/>
  <c r="J121" i="2" s="1"/>
  <c r="K121" i="2" s="1"/>
  <c r="I120" i="2"/>
  <c r="H120" i="2"/>
  <c r="J120" i="2" s="1"/>
  <c r="K109" i="2"/>
  <c r="J109" i="2"/>
  <c r="I109" i="2"/>
  <c r="H109" i="2"/>
  <c r="I108" i="2"/>
  <c r="H108" i="2"/>
  <c r="J108" i="2" s="1"/>
  <c r="I107" i="2"/>
  <c r="J107" i="2" s="1"/>
  <c r="K107" i="2" s="1"/>
  <c r="H107" i="2"/>
  <c r="J102" i="2"/>
  <c r="J101" i="2"/>
  <c r="G96" i="2"/>
  <c r="H96" i="2" s="1"/>
  <c r="J91" i="2"/>
  <c r="J90" i="2"/>
  <c r="J89" i="2"/>
  <c r="J88" i="2"/>
  <c r="J87" i="2"/>
  <c r="G87" i="2"/>
  <c r="J81" i="2"/>
  <c r="J80" i="2"/>
  <c r="J79" i="2"/>
  <c r="J78" i="2"/>
  <c r="G78" i="2"/>
  <c r="C73" i="2"/>
  <c r="D72" i="2"/>
  <c r="D71" i="2"/>
  <c r="I44" i="4" s="1"/>
  <c r="D70" i="2"/>
  <c r="L172" i="2" s="1"/>
  <c r="E64" i="2"/>
  <c r="E63" i="2"/>
  <c r="E62" i="2"/>
  <c r="E61" i="2"/>
  <c r="E60" i="2"/>
  <c r="E59" i="2"/>
  <c r="E58" i="2"/>
  <c r="E57" i="2"/>
  <c r="E52" i="2"/>
  <c r="G51" i="2"/>
  <c r="F51" i="2"/>
  <c r="E51" i="2"/>
  <c r="G50" i="2"/>
  <c r="F50" i="2"/>
  <c r="E50" i="2"/>
  <c r="H49" i="2"/>
  <c r="E49" i="2"/>
  <c r="H48" i="2"/>
  <c r="E48" i="2"/>
  <c r="H47" i="2"/>
  <c r="G47" i="2"/>
  <c r="F47" i="2"/>
  <c r="E47" i="2"/>
  <c r="H46" i="2"/>
  <c r="E46" i="2"/>
  <c r="H45" i="2"/>
  <c r="E45" i="2"/>
  <c r="H44" i="2"/>
  <c r="E44" i="2"/>
  <c r="H43" i="2"/>
  <c r="E43" i="2"/>
  <c r="H42" i="2"/>
  <c r="E42" i="2"/>
  <c r="H41" i="2"/>
  <c r="E41" i="2"/>
  <c r="H40" i="2"/>
  <c r="E40" i="2"/>
  <c r="E39" i="2"/>
  <c r="H38" i="2"/>
  <c r="G38" i="2"/>
  <c r="F38" i="2"/>
  <c r="E38" i="2"/>
  <c r="H37" i="2"/>
  <c r="F37" i="2"/>
  <c r="E37" i="2"/>
  <c r="H36" i="2"/>
  <c r="G36" i="2"/>
  <c r="F36" i="2"/>
  <c r="E36" i="2"/>
  <c r="E35" i="2"/>
  <c r="H34" i="2"/>
  <c r="G34" i="2"/>
  <c r="E34" i="2"/>
  <c r="H33" i="2"/>
  <c r="G33" i="2"/>
  <c r="F33" i="2"/>
  <c r="E33" i="2"/>
  <c r="H32" i="2"/>
  <c r="E32" i="2"/>
  <c r="H31" i="2"/>
  <c r="G31" i="2"/>
  <c r="F31" i="2"/>
  <c r="E31" i="2"/>
  <c r="H30" i="2"/>
  <c r="G30" i="2"/>
  <c r="F30" i="2"/>
  <c r="E30" i="2"/>
  <c r="H29" i="2"/>
  <c r="G29" i="2"/>
  <c r="F29" i="2"/>
  <c r="E29" i="2"/>
  <c r="H28" i="2"/>
  <c r="G28" i="2"/>
  <c r="F28" i="2"/>
  <c r="E28" i="2"/>
  <c r="H27" i="2"/>
  <c r="G27" i="2"/>
  <c r="F27" i="2"/>
  <c r="E27" i="2"/>
  <c r="E19" i="2"/>
  <c r="E15" i="2"/>
  <c r="E14" i="2"/>
  <c r="E13" i="2"/>
  <c r="E12" i="2"/>
  <c r="E11" i="2"/>
  <c r="E10" i="2"/>
  <c r="E4" i="2"/>
  <c r="B3" i="2"/>
  <c r="F271" i="2" l="1"/>
  <c r="E16" i="2"/>
  <c r="H53" i="2"/>
  <c r="H54" i="2" s="1"/>
  <c r="H48" i="4" s="1"/>
  <c r="F259" i="2"/>
  <c r="I96" i="2"/>
  <c r="J96" i="2" s="1"/>
  <c r="J83" i="2"/>
  <c r="F245" i="2" s="1"/>
  <c r="F276" i="2"/>
  <c r="G53" i="2"/>
  <c r="G54" i="2" s="1"/>
  <c r="J48" i="4" s="1"/>
  <c r="E65" i="2"/>
  <c r="B50" i="4" s="1"/>
  <c r="F53" i="2"/>
  <c r="E53" i="2"/>
  <c r="F57" i="3"/>
  <c r="J92" i="2"/>
  <c r="I141" i="2" s="1"/>
  <c r="L141" i="2" s="1"/>
  <c r="K101" i="2"/>
  <c r="J122" i="2"/>
  <c r="K122" i="2" s="1"/>
  <c r="I181" i="2"/>
  <c r="L174" i="2" s="1"/>
  <c r="J131" i="2"/>
  <c r="L231" i="2"/>
  <c r="E25" i="3" s="1"/>
  <c r="L229" i="2"/>
  <c r="F277" i="2"/>
  <c r="G271" i="2"/>
  <c r="F260" i="2"/>
  <c r="F261" i="2" s="1"/>
  <c r="E7" i="3"/>
  <c r="F10" i="5" s="1"/>
  <c r="D7" i="3"/>
  <c r="E10" i="5" s="1"/>
  <c r="H141" i="2"/>
  <c r="K141" i="2" s="1"/>
  <c r="C7" i="3"/>
  <c r="D10" i="5" s="1"/>
  <c r="F246" i="2"/>
  <c r="B4" i="9" s="1"/>
  <c r="B5" i="9" s="1"/>
  <c r="B7" i="9" s="1"/>
  <c r="B8" i="9" s="1"/>
  <c r="B10" i="9" s="1"/>
  <c r="B12" i="9" s="1"/>
  <c r="F7" i="3"/>
  <c r="G10" i="5" s="1"/>
  <c r="D25" i="3"/>
  <c r="F25" i="3"/>
  <c r="C25" i="3"/>
  <c r="K120" i="2"/>
  <c r="J124" i="2"/>
  <c r="O200" i="2"/>
  <c r="B48" i="4"/>
  <c r="B16" i="4"/>
  <c r="K131" i="2"/>
  <c r="K133" i="2" s="1"/>
  <c r="J133" i="2"/>
  <c r="F50" i="4"/>
  <c r="D50" i="4"/>
  <c r="K108" i="2"/>
  <c r="K110" i="2" s="1"/>
  <c r="J110" i="2"/>
  <c r="I182" i="2"/>
  <c r="D5" i="10"/>
  <c r="B14" i="4"/>
  <c r="B12" i="4"/>
  <c r="G140" i="2"/>
  <c r="F54" i="2"/>
  <c r="I48" i="4" s="1"/>
  <c r="L194" i="2"/>
  <c r="H45" i="4"/>
  <c r="H44" i="4"/>
  <c r="H43" i="4"/>
  <c r="H53" i="4" s="1"/>
  <c r="E4" i="11"/>
  <c r="F22" i="6"/>
  <c r="F13" i="13" s="1"/>
  <c r="F6" i="5"/>
  <c r="F7" i="5"/>
  <c r="B47" i="4"/>
  <c r="B15" i="4"/>
  <c r="F275" i="2"/>
  <c r="I45" i="4"/>
  <c r="I49" i="4" s="1"/>
  <c r="I43" i="4"/>
  <c r="I53" i="4" s="1"/>
  <c r="E101" i="3"/>
  <c r="D101" i="3"/>
  <c r="C101" i="3"/>
  <c r="B43" i="4"/>
  <c r="B7" i="4"/>
  <c r="F269" i="2"/>
  <c r="G268" i="2"/>
  <c r="J45" i="4"/>
  <c r="J43" i="4"/>
  <c r="J53" i="4" s="1"/>
  <c r="J44" i="4"/>
  <c r="B4" i="11"/>
  <c r="C7" i="5"/>
  <c r="C22" i="6"/>
  <c r="C13" i="13" s="1"/>
  <c r="C6" i="5"/>
  <c r="I247" i="2"/>
  <c r="I252" i="2" s="1"/>
  <c r="F247" i="2" s="1"/>
  <c r="F216" i="2"/>
  <c r="F268" i="2"/>
  <c r="C4" i="11"/>
  <c r="D7" i="5"/>
  <c r="D22" i="6"/>
  <c r="D13" i="13" s="1"/>
  <c r="D6" i="5"/>
  <c r="G270" i="2"/>
  <c r="E45" i="4"/>
  <c r="D45" i="4"/>
  <c r="F45" i="4" s="1"/>
  <c r="B23" i="7"/>
  <c r="D73" i="2"/>
  <c r="G269" i="2"/>
  <c r="D4" i="11"/>
  <c r="E22" i="6"/>
  <c r="E13" i="13" s="1"/>
  <c r="E6" i="5"/>
  <c r="C57" i="3"/>
  <c r="E65" i="12"/>
  <c r="E63" i="12"/>
  <c r="E61" i="12"/>
  <c r="E59" i="12"/>
  <c r="E57" i="12"/>
  <c r="E55" i="12"/>
  <c r="E53" i="12"/>
  <c r="E51" i="12"/>
  <c r="E49" i="12"/>
  <c r="E64" i="12"/>
  <c r="E54" i="12"/>
  <c r="E60" i="12"/>
  <c r="E50" i="12"/>
  <c r="E56" i="12"/>
  <c r="E62" i="12"/>
  <c r="E158" i="3"/>
  <c r="E156" i="3"/>
  <c r="E58" i="12"/>
  <c r="E52" i="12"/>
  <c r="E143" i="3"/>
  <c r="E145" i="3"/>
  <c r="E147" i="3"/>
  <c r="E149" i="3"/>
  <c r="E151" i="3"/>
  <c r="E153" i="3"/>
  <c r="D57" i="3"/>
  <c r="F88" i="3"/>
  <c r="E7" i="5"/>
  <c r="E154" i="3"/>
  <c r="E157" i="3"/>
  <c r="E86" i="12"/>
  <c r="E77" i="12"/>
  <c r="E74" i="12"/>
  <c r="E83" i="12"/>
  <c r="E80" i="12"/>
  <c r="E73" i="12"/>
  <c r="E70" i="12"/>
  <c r="E79" i="12"/>
  <c r="E76" i="12"/>
  <c r="E85" i="12"/>
  <c r="E82" i="12"/>
  <c r="E75" i="12"/>
  <c r="E72" i="12"/>
  <c r="E181" i="3"/>
  <c r="E179" i="3"/>
  <c r="E177" i="3"/>
  <c r="E175" i="3"/>
  <c r="E173" i="3"/>
  <c r="E171" i="3"/>
  <c r="E169" i="3"/>
  <c r="E167" i="3"/>
  <c r="E165" i="3"/>
  <c r="E84" i="12"/>
  <c r="E71" i="12"/>
  <c r="E180" i="3"/>
  <c r="E178" i="3"/>
  <c r="E176" i="3"/>
  <c r="E174" i="3"/>
  <c r="E172" i="3"/>
  <c r="E170" i="3"/>
  <c r="E168" i="3"/>
  <c r="E166" i="3"/>
  <c r="E81" i="12"/>
  <c r="E144" i="3"/>
  <c r="E146" i="3"/>
  <c r="E148" i="3"/>
  <c r="E150" i="3"/>
  <c r="E152" i="3"/>
  <c r="E44" i="4"/>
  <c r="D44" i="4"/>
  <c r="F44" i="4" s="1"/>
  <c r="B8" i="15"/>
  <c r="D31" i="16"/>
  <c r="L182" i="2" l="1"/>
  <c r="F185" i="2" s="1"/>
  <c r="F186" i="2" s="1"/>
  <c r="B31" i="3" s="1"/>
  <c r="C45" i="5" s="1"/>
  <c r="L175" i="2"/>
  <c r="J97" i="2"/>
  <c r="F8" i="3"/>
  <c r="E8" i="3"/>
  <c r="E91" i="3" s="1"/>
  <c r="D8" i="3"/>
  <c r="K233" i="2"/>
  <c r="K235" i="2" s="1"/>
  <c r="E26" i="3" s="1"/>
  <c r="C8" i="3"/>
  <c r="H142" i="2"/>
  <c r="K142" i="2" s="1"/>
  <c r="B25" i="3"/>
  <c r="G141" i="2"/>
  <c r="J141" i="2" s="1"/>
  <c r="F250" i="2" s="1"/>
  <c r="B7" i="3"/>
  <c r="C10" i="5" s="1"/>
  <c r="B10" i="5" s="1"/>
  <c r="K124" i="2"/>
  <c r="K125" i="2" s="1"/>
  <c r="G157" i="2" s="1"/>
  <c r="J157" i="2" s="1"/>
  <c r="L202" i="2"/>
  <c r="E15" i="3"/>
  <c r="F264" i="2"/>
  <c r="F265" i="2" s="1"/>
  <c r="B33" i="3" s="1"/>
  <c r="H264" i="2"/>
  <c r="H265" i="2" s="1"/>
  <c r="D33" i="3" s="1"/>
  <c r="D15" i="3"/>
  <c r="B15" i="3"/>
  <c r="G264" i="2"/>
  <c r="G265" i="2" s="1"/>
  <c r="C33" i="3" s="1"/>
  <c r="F15" i="3"/>
  <c r="C15" i="3"/>
  <c r="G272" i="2"/>
  <c r="F58" i="3" s="1"/>
  <c r="C69" i="3"/>
  <c r="F11" i="3"/>
  <c r="E11" i="3"/>
  <c r="F69" i="3"/>
  <c r="C11" i="3"/>
  <c r="G166" i="2"/>
  <c r="J166" i="2" s="1"/>
  <c r="K134" i="2"/>
  <c r="E69" i="3"/>
  <c r="D69" i="3"/>
  <c r="D11" i="3"/>
  <c r="B25" i="7"/>
  <c r="D7" i="15"/>
  <c r="F11" i="7"/>
  <c r="E11" i="7"/>
  <c r="C7" i="15"/>
  <c r="B6" i="5"/>
  <c r="B35" i="9"/>
  <c r="B34" i="9"/>
  <c r="B36" i="9"/>
  <c r="F251" i="2"/>
  <c r="G31" i="3" s="1"/>
  <c r="G6" i="6"/>
  <c r="G56" i="5"/>
  <c r="F90" i="3"/>
  <c r="D91" i="3"/>
  <c r="E33" i="3"/>
  <c r="G25" i="3"/>
  <c r="H157" i="2"/>
  <c r="D56" i="5"/>
  <c r="C90" i="3"/>
  <c r="D6" i="6"/>
  <c r="D9" i="15"/>
  <c r="C9" i="15"/>
  <c r="C13" i="12"/>
  <c r="D13" i="12" s="1"/>
  <c r="B18" i="4"/>
  <c r="B49" i="4" s="1"/>
  <c r="G155" i="2" s="1"/>
  <c r="F10" i="14"/>
  <c r="L179" i="2"/>
  <c r="L181" i="2"/>
  <c r="F91" i="3"/>
  <c r="D43" i="5"/>
  <c r="B58" i="9"/>
  <c r="C58" i="9" s="1"/>
  <c r="B55" i="9"/>
  <c r="B60" i="9"/>
  <c r="C60" i="9" s="1"/>
  <c r="B57" i="9"/>
  <c r="D6" i="10"/>
  <c r="D8" i="10" s="1"/>
  <c r="B62" i="9"/>
  <c r="C62" i="9" s="1"/>
  <c r="B59" i="9"/>
  <c r="B54" i="9"/>
  <c r="B56" i="9"/>
  <c r="C56" i="9" s="1"/>
  <c r="B61" i="9"/>
  <c r="D10" i="14"/>
  <c r="C10" i="14"/>
  <c r="B51" i="4"/>
  <c r="E75" i="3"/>
  <c r="D75" i="3"/>
  <c r="C75" i="3"/>
  <c r="B75" i="3"/>
  <c r="F75" i="3"/>
  <c r="F248" i="2"/>
  <c r="F249" i="2" s="1"/>
  <c r="G26" i="3" s="1"/>
  <c r="G142" i="2"/>
  <c r="J142" i="2" s="1"/>
  <c r="B8" i="3"/>
  <c r="H114" i="2"/>
  <c r="H115" i="2" s="1"/>
  <c r="G114" i="2"/>
  <c r="G115" i="2" s="1"/>
  <c r="K111" i="2"/>
  <c r="F114" i="2" s="1"/>
  <c r="F115" i="2" s="1"/>
  <c r="B29" i="3" s="1"/>
  <c r="F43" i="5"/>
  <c r="D58" i="3"/>
  <c r="F7" i="15"/>
  <c r="C56" i="5"/>
  <c r="B90" i="3"/>
  <c r="C6" i="6"/>
  <c r="F272" i="2"/>
  <c r="B58" i="3" s="1"/>
  <c r="H140" i="2"/>
  <c r="J140" i="2"/>
  <c r="I142" i="2"/>
  <c r="L142" i="2" s="1"/>
  <c r="L198" i="2"/>
  <c r="G43" i="5"/>
  <c r="E6" i="6"/>
  <c r="D90" i="3"/>
  <c r="E56" i="5"/>
  <c r="E10" i="14"/>
  <c r="B52" i="3"/>
  <c r="B13" i="3"/>
  <c r="E9" i="15"/>
  <c r="E47" i="4"/>
  <c r="D47" i="4"/>
  <c r="F47" i="4" s="1"/>
  <c r="B46" i="4"/>
  <c r="H49" i="4" s="1"/>
  <c r="F26" i="3"/>
  <c r="B26" i="3"/>
  <c r="E48" i="4"/>
  <c r="D48" i="4"/>
  <c r="F48" i="4" s="1"/>
  <c r="C43" i="5"/>
  <c r="F6" i="6"/>
  <c r="F56" i="5"/>
  <c r="E90" i="3"/>
  <c r="F4" i="11"/>
  <c r="G22" i="6"/>
  <c r="G13" i="13" s="1"/>
  <c r="G6" i="5"/>
  <c r="H11" i="7" s="1"/>
  <c r="G7" i="5"/>
  <c r="E7" i="15"/>
  <c r="G11" i="7"/>
  <c r="F9" i="15"/>
  <c r="C91" i="3"/>
  <c r="N200" i="2"/>
  <c r="N202" i="2" s="1"/>
  <c r="B55" i="3" s="1"/>
  <c r="O202" i="2"/>
  <c r="B72" i="3" s="1"/>
  <c r="E43" i="5"/>
  <c r="C26" i="3" l="1"/>
  <c r="C58" i="3"/>
  <c r="F33" i="3"/>
  <c r="E58" i="3"/>
  <c r="D26" i="3"/>
  <c r="G10" i="14"/>
  <c r="H10" i="14" s="1"/>
  <c r="C57" i="9"/>
  <c r="E58" i="9" s="1"/>
  <c r="D58" i="9"/>
  <c r="E14" i="7"/>
  <c r="D30" i="5"/>
  <c r="B7" i="15"/>
  <c r="C11" i="7"/>
  <c r="B12" i="12"/>
  <c r="G14" i="7"/>
  <c r="F30" i="5"/>
  <c r="L199" i="2"/>
  <c r="F252" i="2"/>
  <c r="F253" i="2" s="1"/>
  <c r="G32" i="3" s="1"/>
  <c r="G36" i="3" s="1"/>
  <c r="L201" i="2"/>
  <c r="B91" i="3"/>
  <c r="G156" i="2"/>
  <c r="G165" i="2"/>
  <c r="J155" i="2"/>
  <c r="H155" i="2"/>
  <c r="H185" i="2"/>
  <c r="H186" i="2" s="1"/>
  <c r="G185" i="2"/>
  <c r="G186" i="2" s="1"/>
  <c r="H14" i="7"/>
  <c r="G30" i="5"/>
  <c r="D62" i="9"/>
  <c r="C61" i="9"/>
  <c r="E62" i="9" s="1"/>
  <c r="D11" i="7"/>
  <c r="I157" i="2"/>
  <c r="L157" i="2" s="1"/>
  <c r="K157" i="2"/>
  <c r="B15" i="10"/>
  <c r="B30" i="12"/>
  <c r="D30" i="12" s="1"/>
  <c r="D38" i="9"/>
  <c r="C12" i="12"/>
  <c r="J143" i="2"/>
  <c r="G26" i="15"/>
  <c r="G25" i="15" s="1"/>
  <c r="E26" i="15"/>
  <c r="C26" i="15"/>
  <c r="C29" i="12"/>
  <c r="F26" i="15"/>
  <c r="D26" i="15"/>
  <c r="D54" i="9"/>
  <c r="C54" i="9"/>
  <c r="H166" i="2"/>
  <c r="B11" i="3"/>
  <c r="B69" i="3"/>
  <c r="C30" i="5"/>
  <c r="G9" i="15"/>
  <c r="E46" i="4"/>
  <c r="E51" i="4" s="1"/>
  <c r="D46" i="4"/>
  <c r="F14" i="7"/>
  <c r="E30" i="5"/>
  <c r="I140" i="2"/>
  <c r="L140" i="2" s="1"/>
  <c r="L143" i="2" s="1"/>
  <c r="K140" i="2"/>
  <c r="K143" i="2" s="1"/>
  <c r="G4" i="11"/>
  <c r="D60" i="9"/>
  <c r="C59" i="9"/>
  <c r="E60" i="9" s="1"/>
  <c r="B20" i="4"/>
  <c r="G34" i="9"/>
  <c r="D35" i="9"/>
  <c r="B13" i="10"/>
  <c r="B9" i="14" s="1"/>
  <c r="H9" i="14" s="1"/>
  <c r="F49" i="4"/>
  <c r="D49" i="4"/>
  <c r="C55" i="9"/>
  <c r="E56" i="9" s="1"/>
  <c r="D56" i="9"/>
  <c r="C8" i="6"/>
  <c r="G7" i="15"/>
  <c r="C29" i="3"/>
  <c r="F29" i="3"/>
  <c r="E29" i="3"/>
  <c r="D29" i="3"/>
  <c r="C45" i="9"/>
  <c r="C25" i="10" s="1"/>
  <c r="E41" i="9"/>
  <c r="E21" i="10" s="1"/>
  <c r="C43" i="9"/>
  <c r="C23" i="10" s="1"/>
  <c r="E39" i="9"/>
  <c r="C46" i="9"/>
  <c r="C26" i="10" s="1"/>
  <c r="C41" i="9"/>
  <c r="C21" i="10" s="1"/>
  <c r="C44" i="9"/>
  <c r="C24" i="10" s="1"/>
  <c r="C39" i="9"/>
  <c r="C19" i="10" s="1"/>
  <c r="C42" i="9"/>
  <c r="C22" i="10" s="1"/>
  <c r="D36" i="9"/>
  <c r="D15" i="10" s="1"/>
  <c r="B14" i="10"/>
  <c r="E47" i="9"/>
  <c r="E27" i="10" s="1"/>
  <c r="C40" i="9"/>
  <c r="C20" i="10" s="1"/>
  <c r="G35" i="9"/>
  <c r="I14" i="10" s="1"/>
  <c r="E43" i="9"/>
  <c r="E23" i="10" s="1"/>
  <c r="C47" i="9"/>
  <c r="C27" i="10" s="1"/>
  <c r="C38" i="9"/>
  <c r="B38" i="9" s="1"/>
  <c r="E45" i="9"/>
  <c r="E25" i="10" s="1"/>
  <c r="C58" i="5" l="1"/>
  <c r="F46" i="4"/>
  <c r="F51" i="4" s="1"/>
  <c r="D39" i="9"/>
  <c r="D19" i="10" s="1"/>
  <c r="B39" i="9"/>
  <c r="B18" i="10"/>
  <c r="C13" i="6"/>
  <c r="C34" i="4" s="1"/>
  <c r="C26" i="4"/>
  <c r="B41" i="3"/>
  <c r="B97" i="3"/>
  <c r="E27" i="15"/>
  <c r="E25" i="15" s="1"/>
  <c r="F18" i="14"/>
  <c r="D37" i="9"/>
  <c r="D14" i="10"/>
  <c r="J165" i="2"/>
  <c r="H165" i="2"/>
  <c r="G37" i="9"/>
  <c r="G48" i="9" s="1"/>
  <c r="I13" i="10"/>
  <c r="I17" i="10" s="1"/>
  <c r="F21" i="15"/>
  <c r="G21" i="15" s="1"/>
  <c r="C64" i="9"/>
  <c r="E54" i="9"/>
  <c r="E64" i="9" s="1"/>
  <c r="B12" i="3"/>
  <c r="F149" i="2"/>
  <c r="F150" i="2" s="1"/>
  <c r="B30" i="3" s="1"/>
  <c r="C44" i="5" s="1"/>
  <c r="F15" i="10"/>
  <c r="H156" i="2"/>
  <c r="J156" i="2"/>
  <c r="J158" i="2" s="1"/>
  <c r="D12" i="3"/>
  <c r="G149" i="2"/>
  <c r="G150" i="2" s="1"/>
  <c r="C12" i="3"/>
  <c r="E18" i="14"/>
  <c r="D27" i="15"/>
  <c r="F12" i="3"/>
  <c r="E12" i="3"/>
  <c r="H149" i="2"/>
  <c r="H150" i="2" s="1"/>
  <c r="C14" i="7"/>
  <c r="B30" i="5"/>
  <c r="J49" i="4"/>
  <c r="G164" i="2" s="1"/>
  <c r="D51" i="4"/>
  <c r="D25" i="15"/>
  <c r="D14" i="7"/>
  <c r="F31" i="3"/>
  <c r="G45" i="5" s="1"/>
  <c r="E31" i="3"/>
  <c r="F45" i="5" s="1"/>
  <c r="D31" i="3"/>
  <c r="E45" i="5" s="1"/>
  <c r="C31" i="3"/>
  <c r="D45" i="5" s="1"/>
  <c r="D18" i="14"/>
  <c r="C27" i="15"/>
  <c r="C25" i="15" s="1"/>
  <c r="F39" i="9"/>
  <c r="H39" i="9" s="1"/>
  <c r="D18" i="10"/>
  <c r="C48" i="9"/>
  <c r="C18" i="10"/>
  <c r="C29" i="10" s="1"/>
  <c r="B6" i="12"/>
  <c r="C6" i="7"/>
  <c r="K166" i="2"/>
  <c r="I166" i="2"/>
  <c r="L166" i="2" s="1"/>
  <c r="F25" i="15"/>
  <c r="C52" i="3"/>
  <c r="D13" i="3"/>
  <c r="C13" i="3"/>
  <c r="F52" i="3"/>
  <c r="O201" i="2"/>
  <c r="D52" i="3"/>
  <c r="N201" i="2"/>
  <c r="E52" i="3"/>
  <c r="E13" i="3"/>
  <c r="F13" i="3"/>
  <c r="D12" i="12"/>
  <c r="G18" i="14"/>
  <c r="F27" i="15"/>
  <c r="E19" i="10"/>
  <c r="E48" i="9"/>
  <c r="D29" i="12"/>
  <c r="C8" i="14"/>
  <c r="H8" i="14" s="1"/>
  <c r="K155" i="2"/>
  <c r="I155" i="2"/>
  <c r="L155" i="2" s="1"/>
  <c r="I11" i="7"/>
  <c r="G19" i="10" l="1"/>
  <c r="F9" i="13" s="1"/>
  <c r="B54" i="3"/>
  <c r="C18" i="6" s="1"/>
  <c r="C7" i="13" s="1"/>
  <c r="H164" i="2"/>
  <c r="J164" i="2"/>
  <c r="J167" i="2" s="1"/>
  <c r="B71" i="3" s="1"/>
  <c r="C19" i="6" s="1"/>
  <c r="C8" i="13" s="1"/>
  <c r="F8" i="6"/>
  <c r="F58" i="5"/>
  <c r="C9" i="13"/>
  <c r="I14" i="7"/>
  <c r="C7" i="6"/>
  <c r="C12" i="6" s="1"/>
  <c r="C57" i="5"/>
  <c r="K165" i="2"/>
  <c r="I165" i="2"/>
  <c r="L165" i="2" s="1"/>
  <c r="E7" i="6"/>
  <c r="C31" i="4"/>
  <c r="B29" i="4"/>
  <c r="B31" i="4" s="1"/>
  <c r="G7" i="6"/>
  <c r="B19" i="10"/>
  <c r="D40" i="9"/>
  <c r="B40" i="9"/>
  <c r="G8" i="6"/>
  <c r="G58" i="5"/>
  <c r="I29" i="10"/>
  <c r="C18" i="14"/>
  <c r="H18" i="14" s="1"/>
  <c r="B27" i="15"/>
  <c r="B25" i="15" s="1"/>
  <c r="E29" i="10"/>
  <c r="G29" i="15" s="1"/>
  <c r="I6" i="7"/>
  <c r="D7" i="6"/>
  <c r="K156" i="2"/>
  <c r="K158" i="2" s="1"/>
  <c r="I156" i="2"/>
  <c r="L156" i="2" s="1"/>
  <c r="L158" i="2" s="1"/>
  <c r="E8" i="6"/>
  <c r="E58" i="5"/>
  <c r="F7" i="6"/>
  <c r="F37" i="9"/>
  <c r="C47" i="5"/>
  <c r="C48" i="5"/>
  <c r="D55" i="3"/>
  <c r="E55" i="3"/>
  <c r="C55" i="3"/>
  <c r="F55" i="3"/>
  <c r="D72" i="3"/>
  <c r="E72" i="3"/>
  <c r="C72" i="3"/>
  <c r="F72" i="3"/>
  <c r="D8" i="6"/>
  <c r="D58" i="5"/>
  <c r="B19" i="15"/>
  <c r="B22" i="15" s="1"/>
  <c r="C19" i="15" s="1"/>
  <c r="D6" i="12"/>
  <c r="C21" i="15"/>
  <c r="F30" i="3"/>
  <c r="G44" i="5" s="1"/>
  <c r="G47" i="5" s="1"/>
  <c r="E30" i="3"/>
  <c r="F44" i="5" s="1"/>
  <c r="F47" i="5" s="1"/>
  <c r="C30" i="3"/>
  <c r="D44" i="5" s="1"/>
  <c r="D47" i="5" s="1"/>
  <c r="D30" i="3"/>
  <c r="E44" i="5" s="1"/>
  <c r="E47" i="5" s="1"/>
  <c r="G17" i="10"/>
  <c r="D17" i="10"/>
  <c r="D16" i="10"/>
  <c r="G15" i="10"/>
  <c r="G16" i="10" s="1"/>
  <c r="D9" i="13" l="1"/>
  <c r="G9" i="13"/>
  <c r="E48" i="5"/>
  <c r="F57" i="5"/>
  <c r="F60" i="5" s="1"/>
  <c r="G48" i="5"/>
  <c r="I6" i="16"/>
  <c r="E9" i="13"/>
  <c r="F54" i="3"/>
  <c r="G18" i="6" s="1"/>
  <c r="G7" i="13" s="1"/>
  <c r="E54" i="3"/>
  <c r="F18" i="6" s="1"/>
  <c r="F7" i="13" s="1"/>
  <c r="G57" i="5"/>
  <c r="G60" i="5" s="1"/>
  <c r="C7" i="12"/>
  <c r="D7" i="7"/>
  <c r="D8" i="7" s="1"/>
  <c r="B5" i="8" s="1"/>
  <c r="C33" i="4"/>
  <c r="C36" i="4" s="1"/>
  <c r="B29" i="15"/>
  <c r="G28" i="15"/>
  <c r="G30" i="15" s="1"/>
  <c r="E57" i="5"/>
  <c r="E60" i="5" s="1"/>
  <c r="E61" i="5" s="1"/>
  <c r="D41" i="9"/>
  <c r="F41" i="9" s="1"/>
  <c r="H41" i="9" s="1"/>
  <c r="B20" i="10"/>
  <c r="B41" i="9"/>
  <c r="E12" i="6"/>
  <c r="I164" i="2"/>
  <c r="L164" i="2" s="1"/>
  <c r="L167" i="2" s="1"/>
  <c r="K164" i="2"/>
  <c r="K167" i="2" s="1"/>
  <c r="D21" i="15"/>
  <c r="E21" i="15"/>
  <c r="C22" i="15"/>
  <c r="D19" i="15" s="1"/>
  <c r="H37" i="9"/>
  <c r="D20" i="10"/>
  <c r="C11" i="5"/>
  <c r="J17" i="10"/>
  <c r="I5" i="16" s="1"/>
  <c r="D48" i="5"/>
  <c r="E11" i="5"/>
  <c r="D54" i="3"/>
  <c r="E18" i="6" s="1"/>
  <c r="E7" i="13" s="1"/>
  <c r="D11" i="5"/>
  <c r="C54" i="3"/>
  <c r="D18" i="6" s="1"/>
  <c r="D7" i="13" s="1"/>
  <c r="D57" i="5"/>
  <c r="D60" i="5" s="1"/>
  <c r="F19" i="10"/>
  <c r="H19" i="10" s="1"/>
  <c r="B7" i="12"/>
  <c r="C7" i="7"/>
  <c r="B53" i="4"/>
  <c r="B33" i="4"/>
  <c r="F48" i="5"/>
  <c r="F12" i="6"/>
  <c r="D12" i="6"/>
  <c r="B10" i="11"/>
  <c r="G12" i="6"/>
  <c r="C60" i="5"/>
  <c r="C61" i="5"/>
  <c r="G61" i="5" l="1"/>
  <c r="B28" i="15"/>
  <c r="B30" i="15" s="1"/>
  <c r="C29" i="15"/>
  <c r="D71" i="3"/>
  <c r="E19" i="6" s="1"/>
  <c r="E8" i="13" s="1"/>
  <c r="C71" i="3"/>
  <c r="D19" i="6" s="1"/>
  <c r="D8" i="13" s="1"/>
  <c r="C15" i="15"/>
  <c r="C8" i="12"/>
  <c r="B6" i="16"/>
  <c r="D21" i="7"/>
  <c r="E53" i="4"/>
  <c r="D53" i="4"/>
  <c r="B56" i="4"/>
  <c r="D7" i="12"/>
  <c r="B14" i="15"/>
  <c r="B17" i="15" s="1"/>
  <c r="B8" i="12"/>
  <c r="F71" i="3"/>
  <c r="G19" i="6" s="1"/>
  <c r="G8" i="13" s="1"/>
  <c r="E71" i="3"/>
  <c r="F19" i="6" s="1"/>
  <c r="F8" i="13" s="1"/>
  <c r="G11" i="5"/>
  <c r="I7" i="7"/>
  <c r="C8" i="7"/>
  <c r="D42" i="9"/>
  <c r="B42" i="9"/>
  <c r="B21" i="10"/>
  <c r="F11" i="5"/>
  <c r="B11" i="5"/>
  <c r="C31" i="5" s="1"/>
  <c r="F15" i="7"/>
  <c r="E31" i="5"/>
  <c r="D61" i="5"/>
  <c r="D22" i="15"/>
  <c r="E19" i="15" s="1"/>
  <c r="E22" i="15" s="1"/>
  <c r="F19" i="15" s="1"/>
  <c r="F22" i="15" s="1"/>
  <c r="G19" i="15" s="1"/>
  <c r="G22" i="15" s="1"/>
  <c r="E15" i="7"/>
  <c r="D31" i="5"/>
  <c r="B42" i="12"/>
  <c r="F61" i="5"/>
  <c r="B34" i="4"/>
  <c r="B36" i="4" s="1"/>
  <c r="L5" i="16"/>
  <c r="D21" i="10"/>
  <c r="D15" i="7" l="1"/>
  <c r="D29" i="15"/>
  <c r="C28" i="15"/>
  <c r="C30" i="15" s="1"/>
  <c r="C14" i="15"/>
  <c r="C14" i="14"/>
  <c r="C9" i="12"/>
  <c r="C16" i="15"/>
  <c r="F53" i="3"/>
  <c r="D53" i="3"/>
  <c r="C53" i="3"/>
  <c r="C10" i="3"/>
  <c r="B53" i="3"/>
  <c r="B10" i="3"/>
  <c r="F240" i="2"/>
  <c r="F241" i="2" s="1"/>
  <c r="F242" i="2" s="1"/>
  <c r="B28" i="3" s="1"/>
  <c r="D10" i="3"/>
  <c r="G240" i="2"/>
  <c r="G241" i="2" s="1"/>
  <c r="G242" i="2" s="1"/>
  <c r="E53" i="3"/>
  <c r="D56" i="4"/>
  <c r="D43" i="9"/>
  <c r="B43" i="9"/>
  <c r="B22" i="10"/>
  <c r="G16" i="15"/>
  <c r="F16" i="15"/>
  <c r="F70" i="3"/>
  <c r="F10" i="3"/>
  <c r="D70" i="3"/>
  <c r="C70" i="3"/>
  <c r="B70" i="3"/>
  <c r="E70" i="3"/>
  <c r="E10" i="3"/>
  <c r="H240" i="2"/>
  <c r="H241" i="2" s="1"/>
  <c r="H242" i="2" s="1"/>
  <c r="E56" i="4"/>
  <c r="H15" i="7"/>
  <c r="G31" i="5"/>
  <c r="D22" i="10"/>
  <c r="F53" i="4"/>
  <c r="F56" i="4" s="1"/>
  <c r="C21" i="7"/>
  <c r="B5" i="16"/>
  <c r="I8" i="7"/>
  <c r="B4" i="8"/>
  <c r="F21" i="10"/>
  <c r="G21" i="10"/>
  <c r="G15" i="7"/>
  <c r="F31" i="5"/>
  <c r="C15" i="7"/>
  <c r="B31" i="5"/>
  <c r="B34" i="5" s="1"/>
  <c r="C22" i="7" s="1"/>
  <c r="B9" i="5"/>
  <c r="B14" i="14"/>
  <c r="B9" i="12"/>
  <c r="D8" i="12"/>
  <c r="C18" i="5" l="1"/>
  <c r="C10" i="12"/>
  <c r="C25" i="12" s="1"/>
  <c r="E29" i="15"/>
  <c r="D28" i="15"/>
  <c r="D30" i="15" s="1"/>
  <c r="B127" i="3"/>
  <c r="B16" i="3"/>
  <c r="B92" i="3" s="1"/>
  <c r="B94" i="3" s="1"/>
  <c r="I15" i="7"/>
  <c r="C18" i="7"/>
  <c r="E127" i="3"/>
  <c r="E16" i="3"/>
  <c r="E92" i="3" s="1"/>
  <c r="E94" i="3" s="1"/>
  <c r="E17" i="3"/>
  <c r="C17" i="5"/>
  <c r="B34" i="3"/>
  <c r="B35" i="3" s="1"/>
  <c r="B5" i="10"/>
  <c r="D9" i="12"/>
  <c r="B76" i="3"/>
  <c r="B78" i="3" s="1"/>
  <c r="B23" i="10"/>
  <c r="D44" i="9"/>
  <c r="B44" i="9"/>
  <c r="B59" i="3"/>
  <c r="B61" i="3" s="1"/>
  <c r="C76" i="3"/>
  <c r="C78" i="3" s="1"/>
  <c r="C127" i="3"/>
  <c r="C16" i="3"/>
  <c r="C92" i="3" s="1"/>
  <c r="C94" i="3" s="1"/>
  <c r="H14" i="14"/>
  <c r="D76" i="3"/>
  <c r="D78" i="3" s="1"/>
  <c r="D25" i="14"/>
  <c r="J7" i="16" s="1"/>
  <c r="E25" i="14"/>
  <c r="J8" i="16" s="1"/>
  <c r="I7" i="8"/>
  <c r="I6" i="8"/>
  <c r="C25" i="14"/>
  <c r="I5" i="8"/>
  <c r="C59" i="3"/>
  <c r="C61" i="3" s="1"/>
  <c r="B10" i="12"/>
  <c r="D23" i="10"/>
  <c r="G23" i="10" s="1"/>
  <c r="B10" i="15"/>
  <c r="B14" i="12"/>
  <c r="B15" i="5"/>
  <c r="C23" i="7"/>
  <c r="I21" i="7"/>
  <c r="F127" i="3"/>
  <c r="F16" i="3"/>
  <c r="F92" i="3" s="1"/>
  <c r="F94" i="3" s="1"/>
  <c r="E59" i="3"/>
  <c r="E61" i="3" s="1"/>
  <c r="D59" i="3"/>
  <c r="D61" i="3" s="1"/>
  <c r="E76" i="3"/>
  <c r="E78" i="3" s="1"/>
  <c r="B21" i="12"/>
  <c r="B17" i="13" s="1"/>
  <c r="H21" i="10"/>
  <c r="I7" i="16"/>
  <c r="C10" i="11"/>
  <c r="B10" i="16"/>
  <c r="B9" i="8"/>
  <c r="G25" i="14"/>
  <c r="J10" i="16" s="1"/>
  <c r="I9" i="8"/>
  <c r="F25" i="14"/>
  <c r="J9" i="16" s="1"/>
  <c r="I8" i="8"/>
  <c r="F76" i="3"/>
  <c r="F78" i="3" s="1"/>
  <c r="D28" i="3"/>
  <c r="C28" i="3"/>
  <c r="D18" i="5" s="1"/>
  <c r="F59" i="3"/>
  <c r="F61" i="3" s="1"/>
  <c r="F43" i="9"/>
  <c r="E28" i="3"/>
  <c r="F18" i="5" s="1"/>
  <c r="F28" i="3"/>
  <c r="G18" i="5" s="1"/>
  <c r="D127" i="3"/>
  <c r="E18" i="5"/>
  <c r="D16" i="3"/>
  <c r="D17" i="3" s="1"/>
  <c r="E16" i="15"/>
  <c r="D16" i="15"/>
  <c r="C17" i="15"/>
  <c r="F17" i="3" l="1"/>
  <c r="F19" i="3" s="1"/>
  <c r="F130" i="3" s="1"/>
  <c r="F29" i="15"/>
  <c r="F28" i="15" s="1"/>
  <c r="F30" i="15" s="1"/>
  <c r="E28" i="15"/>
  <c r="E30" i="15" s="1"/>
  <c r="D133" i="3"/>
  <c r="D38" i="12" s="1"/>
  <c r="D111" i="3"/>
  <c r="D8" i="11" s="1"/>
  <c r="D132" i="3"/>
  <c r="D39" i="12" s="1"/>
  <c r="I8" i="16"/>
  <c r="D10" i="11"/>
  <c r="D42" i="12" s="1"/>
  <c r="D130" i="3"/>
  <c r="D37" i="12" s="1"/>
  <c r="D19" i="3"/>
  <c r="D20" i="3"/>
  <c r="D131" i="3" s="1"/>
  <c r="D39" i="3"/>
  <c r="E80" i="3"/>
  <c r="E81" i="3" s="1"/>
  <c r="E135" i="3" s="1"/>
  <c r="E40" i="12" s="1"/>
  <c r="E112" i="3"/>
  <c r="E9" i="11" s="1"/>
  <c r="B132" i="3"/>
  <c r="B39" i="12" s="1"/>
  <c r="B133" i="3"/>
  <c r="B38" i="12" s="1"/>
  <c r="B111" i="3"/>
  <c r="B8" i="11" s="1"/>
  <c r="B18" i="13"/>
  <c r="C16" i="13" s="1"/>
  <c r="B21" i="14"/>
  <c r="D5" i="16"/>
  <c r="D80" i="3"/>
  <c r="D81" i="3" s="1"/>
  <c r="D135" i="3" s="1"/>
  <c r="D40" i="12" s="1"/>
  <c r="D112" i="3"/>
  <c r="D9" i="11" s="1"/>
  <c r="F111" i="3"/>
  <c r="F8" i="11" s="1"/>
  <c r="F132" i="3"/>
  <c r="F39" i="12" s="1"/>
  <c r="F133" i="3"/>
  <c r="F38" i="12" s="1"/>
  <c r="B26" i="6"/>
  <c r="B27" i="6" s="1"/>
  <c r="C25" i="6" s="1"/>
  <c r="D4" i="8"/>
  <c r="C112" i="3"/>
  <c r="C9" i="11" s="1"/>
  <c r="C134" i="3"/>
  <c r="C41" i="12" s="1"/>
  <c r="C80" i="3"/>
  <c r="C81" i="3" s="1"/>
  <c r="C135" i="3" s="1"/>
  <c r="C40" i="12" s="1"/>
  <c r="D92" i="3"/>
  <c r="D94" i="3" s="1"/>
  <c r="B15" i="12"/>
  <c r="C133" i="3"/>
  <c r="C38" i="12" s="1"/>
  <c r="C111" i="3"/>
  <c r="C8" i="11" s="1"/>
  <c r="C132" i="3"/>
  <c r="C39" i="12" s="1"/>
  <c r="E20" i="3"/>
  <c r="E131" i="3" s="1"/>
  <c r="E19" i="3"/>
  <c r="E130" i="3" s="1"/>
  <c r="E37" i="12" s="1"/>
  <c r="E39" i="3"/>
  <c r="J6" i="16"/>
  <c r="J12" i="16" s="1"/>
  <c r="H25" i="14"/>
  <c r="C4" i="8"/>
  <c r="C25" i="7"/>
  <c r="C17" i="12"/>
  <c r="C17" i="3"/>
  <c r="B17" i="3"/>
  <c r="B25" i="12"/>
  <c r="D10" i="12"/>
  <c r="B22" i="5"/>
  <c r="B25" i="5" s="1"/>
  <c r="B36" i="5" s="1"/>
  <c r="B24" i="5"/>
  <c r="B15" i="14" s="1"/>
  <c r="C20" i="5"/>
  <c r="F5" i="10"/>
  <c r="B112" i="3"/>
  <c r="B9" i="11" s="1"/>
  <c r="B80" i="3"/>
  <c r="B81" i="3" s="1"/>
  <c r="B135" i="3" s="1"/>
  <c r="B40" i="12" s="1"/>
  <c r="D17" i="5"/>
  <c r="C34" i="3"/>
  <c r="C35" i="3" s="1"/>
  <c r="E17" i="5"/>
  <c r="D34" i="3"/>
  <c r="D35" i="3" s="1"/>
  <c r="F80" i="3"/>
  <c r="F81" i="3" s="1"/>
  <c r="F135" i="3" s="1"/>
  <c r="F40" i="12" s="1"/>
  <c r="F112" i="3"/>
  <c r="F9" i="11" s="1"/>
  <c r="I11" i="8"/>
  <c r="B24" i="10"/>
  <c r="B45" i="9"/>
  <c r="D45" i="9"/>
  <c r="F45" i="9" s="1"/>
  <c r="H45" i="9" s="1"/>
  <c r="B11" i="8"/>
  <c r="M18" i="8" s="1"/>
  <c r="D14" i="15"/>
  <c r="D17" i="15" s="1"/>
  <c r="D24" i="10"/>
  <c r="E133" i="3"/>
  <c r="E38" i="12" s="1"/>
  <c r="E111" i="3"/>
  <c r="E8" i="11" s="1"/>
  <c r="E132" i="3"/>
  <c r="E39" i="12" s="1"/>
  <c r="C12" i="5"/>
  <c r="D16" i="7" s="1"/>
  <c r="B42" i="3"/>
  <c r="B98" i="3" s="1"/>
  <c r="G17" i="5"/>
  <c r="F34" i="3"/>
  <c r="F35" i="3"/>
  <c r="F17" i="5"/>
  <c r="E34" i="3"/>
  <c r="E35" i="3" s="1"/>
  <c r="H43" i="9"/>
  <c r="C42" i="12"/>
  <c r="B12" i="16"/>
  <c r="L25" i="16" s="1"/>
  <c r="F23" i="10"/>
  <c r="H23" i="10" s="1"/>
  <c r="F39" i="3" l="1"/>
  <c r="F20" i="3"/>
  <c r="F131" i="3" s="1"/>
  <c r="C179" i="3" s="1"/>
  <c r="C5" i="16"/>
  <c r="B31" i="14"/>
  <c r="B134" i="3"/>
  <c r="B41" i="12" s="1"/>
  <c r="F37" i="12"/>
  <c r="D36" i="12"/>
  <c r="D43" i="12" s="1"/>
  <c r="D136" i="3"/>
  <c r="E36" i="12"/>
  <c r="E43" i="12" s="1"/>
  <c r="E136" i="3"/>
  <c r="E12" i="5"/>
  <c r="D42" i="3"/>
  <c r="D98" i="3" s="1"/>
  <c r="F12" i="5"/>
  <c r="G16" i="7" s="1"/>
  <c r="E42" i="3"/>
  <c r="E98" i="3" s="1"/>
  <c r="F36" i="12"/>
  <c r="C181" i="3"/>
  <c r="C177" i="3"/>
  <c r="C173" i="3"/>
  <c r="C171" i="3"/>
  <c r="C169" i="3"/>
  <c r="C167" i="3"/>
  <c r="C165" i="3"/>
  <c r="C174" i="3"/>
  <c r="C168" i="3"/>
  <c r="C172" i="3"/>
  <c r="C166" i="3"/>
  <c r="C176" i="3"/>
  <c r="C180" i="3"/>
  <c r="C170" i="3"/>
  <c r="F136" i="3"/>
  <c r="B20" i="12"/>
  <c r="B22" i="12"/>
  <c r="E14" i="15"/>
  <c r="E17" i="15" s="1"/>
  <c r="D20" i="5"/>
  <c r="C19" i="3"/>
  <c r="C130" i="3" s="1"/>
  <c r="C37" i="12" s="1"/>
  <c r="C39" i="3"/>
  <c r="C20" i="3"/>
  <c r="C131" i="3" s="1"/>
  <c r="D134" i="3"/>
  <c r="D41" i="12" s="1"/>
  <c r="B39" i="3"/>
  <c r="B43" i="3" s="1"/>
  <c r="B19" i="3"/>
  <c r="B130" i="3" s="1"/>
  <c r="B20" i="3"/>
  <c r="B131" i="3" s="1"/>
  <c r="E134" i="3"/>
  <c r="E41" i="12" s="1"/>
  <c r="D12" i="5"/>
  <c r="E16" i="7" s="1"/>
  <c r="C42" i="3"/>
  <c r="C98" i="3" s="1"/>
  <c r="D25" i="10"/>
  <c r="G25" i="10" s="1"/>
  <c r="G9" i="11"/>
  <c r="B13" i="14"/>
  <c r="G4" i="8"/>
  <c r="G8" i="11"/>
  <c r="G20" i="5"/>
  <c r="D17" i="12"/>
  <c r="C18" i="12"/>
  <c r="D18" i="12" s="1"/>
  <c r="C32" i="5"/>
  <c r="F20" i="5"/>
  <c r="D46" i="9"/>
  <c r="B46" i="9"/>
  <c r="B25" i="10"/>
  <c r="E20" i="5"/>
  <c r="F134" i="3"/>
  <c r="F41" i="12" s="1"/>
  <c r="G12" i="5"/>
  <c r="H16" i="7" s="1"/>
  <c r="F42" i="3"/>
  <c r="F98" i="3" s="1"/>
  <c r="D25" i="12"/>
  <c r="C178" i="3" l="1"/>
  <c r="C175" i="3"/>
  <c r="D44" i="12"/>
  <c r="E43" i="3"/>
  <c r="B166" i="3"/>
  <c r="D166" i="3" s="1"/>
  <c r="B167" i="3"/>
  <c r="D167" i="3" s="1"/>
  <c r="F16" i="7"/>
  <c r="B182" i="3"/>
  <c r="B165" i="3"/>
  <c r="D165" i="3" s="1"/>
  <c r="B181" i="3"/>
  <c r="D181" i="3" s="1"/>
  <c r="B36" i="12"/>
  <c r="C158" i="3"/>
  <c r="C156" i="3"/>
  <c r="C154" i="3"/>
  <c r="C159" i="3"/>
  <c r="C152" i="3"/>
  <c r="C150" i="3"/>
  <c r="C148" i="3"/>
  <c r="C146" i="3"/>
  <c r="C144" i="3"/>
  <c r="C157" i="3"/>
  <c r="C151" i="3"/>
  <c r="C143" i="3"/>
  <c r="C149" i="3"/>
  <c r="C153" i="3"/>
  <c r="C147" i="3"/>
  <c r="C155" i="3"/>
  <c r="C145" i="3"/>
  <c r="B136" i="3"/>
  <c r="B160" i="3" s="1"/>
  <c r="B37" i="12"/>
  <c r="B159" i="3"/>
  <c r="D159" i="3" s="1"/>
  <c r="B157" i="3"/>
  <c r="D157" i="3" s="1"/>
  <c r="B158" i="3"/>
  <c r="D158" i="3" s="1"/>
  <c r="B156" i="3"/>
  <c r="B155" i="3"/>
  <c r="B154" i="3"/>
  <c r="B152" i="3"/>
  <c r="B150" i="3"/>
  <c r="B148" i="3"/>
  <c r="B146" i="3"/>
  <c r="D146" i="3" s="1"/>
  <c r="B144" i="3"/>
  <c r="D144" i="3" s="1"/>
  <c r="B151" i="3"/>
  <c r="B143" i="3"/>
  <c r="B149" i="3"/>
  <c r="B147" i="3"/>
  <c r="B153" i="3"/>
  <c r="B145" i="3"/>
  <c r="D145" i="3" s="1"/>
  <c r="C36" i="12"/>
  <c r="C43" i="12" s="1"/>
  <c r="C44" i="12" s="1"/>
  <c r="C136" i="3"/>
  <c r="F25" i="10"/>
  <c r="G32" i="5"/>
  <c r="D26" i="10"/>
  <c r="L4" i="8"/>
  <c r="E46" i="3"/>
  <c r="E47" i="3" s="1"/>
  <c r="E100" i="3"/>
  <c r="E44" i="3"/>
  <c r="E102" i="3" s="1"/>
  <c r="E106" i="3" s="1"/>
  <c r="B172" i="3"/>
  <c r="D172" i="3" s="1"/>
  <c r="B169" i="3"/>
  <c r="D169" i="3" s="1"/>
  <c r="I9" i="16"/>
  <c r="H25" i="10"/>
  <c r="E10" i="11"/>
  <c r="B47" i="9"/>
  <c r="B27" i="10" s="1"/>
  <c r="F27" i="10" s="1"/>
  <c r="B26" i="10"/>
  <c r="D47" i="9"/>
  <c r="F47" i="9" s="1"/>
  <c r="F14" i="15"/>
  <c r="F17" i="15" s="1"/>
  <c r="B168" i="3"/>
  <c r="D168" i="3" s="1"/>
  <c r="B173" i="3"/>
  <c r="D173" i="3" s="1"/>
  <c r="G5" i="16"/>
  <c r="B178" i="3"/>
  <c r="D178" i="3" s="1"/>
  <c r="D32" i="5"/>
  <c r="F43" i="3"/>
  <c r="C43" i="3"/>
  <c r="C86" i="12"/>
  <c r="C84" i="12"/>
  <c r="C82" i="12"/>
  <c r="C80" i="12"/>
  <c r="C78" i="12"/>
  <c r="C76" i="12"/>
  <c r="C74" i="12"/>
  <c r="C72" i="12"/>
  <c r="C70" i="12"/>
  <c r="C71" i="12"/>
  <c r="C77" i="12"/>
  <c r="C83" i="12"/>
  <c r="C73" i="12"/>
  <c r="C79" i="12"/>
  <c r="C85" i="12"/>
  <c r="C75" i="12"/>
  <c r="C81" i="12"/>
  <c r="F43" i="12"/>
  <c r="B174" i="3"/>
  <c r="D174" i="3" s="1"/>
  <c r="B175" i="3"/>
  <c r="D175" i="3" s="1"/>
  <c r="B176" i="3"/>
  <c r="D176" i="3" s="1"/>
  <c r="B180" i="3"/>
  <c r="D180" i="3" s="1"/>
  <c r="B177" i="3"/>
  <c r="D177" i="3" s="1"/>
  <c r="E32" i="5"/>
  <c r="I16" i="7"/>
  <c r="B171" i="3"/>
  <c r="D171" i="3" s="1"/>
  <c r="C15" i="6"/>
  <c r="D43" i="3"/>
  <c r="B23" i="12"/>
  <c r="F32" i="5"/>
  <c r="B170" i="3"/>
  <c r="D170" i="3" s="1"/>
  <c r="B179" i="3"/>
  <c r="D179" i="3" s="1"/>
  <c r="B100" i="3"/>
  <c r="B44" i="3"/>
  <c r="B102" i="3" s="1"/>
  <c r="B46" i="3"/>
  <c r="B47" i="3" s="1"/>
  <c r="D156" i="3" l="1"/>
  <c r="D151" i="3"/>
  <c r="D154" i="3"/>
  <c r="D27" i="10"/>
  <c r="D29" i="10" s="1"/>
  <c r="D48" i="9"/>
  <c r="D148" i="3"/>
  <c r="F15" i="6"/>
  <c r="D153" i="3"/>
  <c r="D150" i="3"/>
  <c r="B107" i="3"/>
  <c r="B106" i="3"/>
  <c r="G14" i="15"/>
  <c r="G17" i="15" s="1"/>
  <c r="G12" i="15" s="1"/>
  <c r="B26" i="12"/>
  <c r="E15" i="6"/>
  <c r="M5" i="16"/>
  <c r="F13" i="5"/>
  <c r="F105" i="3"/>
  <c r="G15" i="6"/>
  <c r="D147" i="3"/>
  <c r="D152" i="3"/>
  <c r="B58" i="12"/>
  <c r="B55" i="12"/>
  <c r="B64" i="12"/>
  <c r="B61" i="12"/>
  <c r="B54" i="12"/>
  <c r="B51" i="12"/>
  <c r="B60" i="12"/>
  <c r="B57" i="12"/>
  <c r="B63" i="12"/>
  <c r="B50" i="12"/>
  <c r="B56" i="12"/>
  <c r="B53" i="12"/>
  <c r="B49" i="12"/>
  <c r="B59" i="12"/>
  <c r="B65" i="12"/>
  <c r="B62" i="12"/>
  <c r="B52" i="12"/>
  <c r="C100" i="3"/>
  <c r="C46" i="3"/>
  <c r="C47" i="3" s="1"/>
  <c r="C44" i="3"/>
  <c r="C102" i="3" s="1"/>
  <c r="C106" i="3" s="1"/>
  <c r="D149" i="3"/>
  <c r="B109" i="3"/>
  <c r="D100" i="3"/>
  <c r="D46" i="3"/>
  <c r="D47" i="3" s="1"/>
  <c r="D44" i="3"/>
  <c r="D102" i="3" s="1"/>
  <c r="D106" i="3" s="1"/>
  <c r="D143" i="3"/>
  <c r="D155" i="3"/>
  <c r="D15" i="6"/>
  <c r="H47" i="9"/>
  <c r="F48" i="9"/>
  <c r="F100" i="3"/>
  <c r="F44" i="3"/>
  <c r="F102" i="3" s="1"/>
  <c r="F106" i="3" s="1"/>
  <c r="F46" i="3"/>
  <c r="F47" i="3" s="1"/>
  <c r="E42" i="12"/>
  <c r="E44" i="12" s="1"/>
  <c r="M4" i="8"/>
  <c r="C64" i="12"/>
  <c r="C62" i="12"/>
  <c r="C60" i="12"/>
  <c r="C58" i="12"/>
  <c r="C56" i="12"/>
  <c r="C54" i="12"/>
  <c r="C52" i="12"/>
  <c r="C50" i="12"/>
  <c r="C61" i="12"/>
  <c r="C51" i="12"/>
  <c r="C57" i="12"/>
  <c r="C63" i="12"/>
  <c r="C53" i="12"/>
  <c r="C59" i="12"/>
  <c r="C55" i="12"/>
  <c r="C65" i="12"/>
  <c r="C49" i="12"/>
  <c r="B43" i="12"/>
  <c r="B44" i="12" s="1"/>
  <c r="D52" i="12" l="1"/>
  <c r="B66" i="12"/>
  <c r="D56" i="12"/>
  <c r="D13" i="5"/>
  <c r="D105" i="3"/>
  <c r="D107" i="3" s="1"/>
  <c r="D109" i="3" s="1"/>
  <c r="D53" i="12"/>
  <c r="D54" i="12"/>
  <c r="D61" i="12"/>
  <c r="B27" i="12"/>
  <c r="E13" i="5"/>
  <c r="E105" i="3"/>
  <c r="E107" i="3" s="1"/>
  <c r="E109" i="3" s="1"/>
  <c r="F109" i="3"/>
  <c r="D50" i="12"/>
  <c r="D64" i="12"/>
  <c r="D63" i="12"/>
  <c r="D55" i="12"/>
  <c r="B5" i="11"/>
  <c r="B114" i="3"/>
  <c r="D62" i="12"/>
  <c r="D58" i="12"/>
  <c r="G17" i="7"/>
  <c r="F33" i="5"/>
  <c r="F9" i="5"/>
  <c r="G27" i="10"/>
  <c r="D65" i="12"/>
  <c r="D57" i="12"/>
  <c r="N5" i="16"/>
  <c r="C13" i="5"/>
  <c r="C105" i="3"/>
  <c r="C107" i="3" s="1"/>
  <c r="C109" i="3" s="1"/>
  <c r="D59" i="12"/>
  <c r="D60" i="12"/>
  <c r="G13" i="5"/>
  <c r="I18" i="5" s="1"/>
  <c r="F107" i="3"/>
  <c r="D49" i="12"/>
  <c r="D51" i="12"/>
  <c r="D66" i="12" l="1"/>
  <c r="D5" i="11"/>
  <c r="D114" i="3"/>
  <c r="C5" i="11"/>
  <c r="C114" i="3"/>
  <c r="D17" i="7"/>
  <c r="C33" i="5"/>
  <c r="C9" i="5"/>
  <c r="E5" i="11"/>
  <c r="E114" i="3"/>
  <c r="F16" i="6"/>
  <c r="F17" i="6" s="1"/>
  <c r="F34" i="5"/>
  <c r="G22" i="7" s="1"/>
  <c r="B116" i="3"/>
  <c r="B118" i="3"/>
  <c r="F114" i="3"/>
  <c r="F5" i="11"/>
  <c r="F17" i="7"/>
  <c r="E33" i="5"/>
  <c r="E9" i="5"/>
  <c r="C16" i="14"/>
  <c r="B6" i="11"/>
  <c r="B32" i="12"/>
  <c r="I10" i="16"/>
  <c r="I12" i="16" s="1"/>
  <c r="H27" i="10"/>
  <c r="F10" i="11"/>
  <c r="G29" i="10"/>
  <c r="F10" i="15"/>
  <c r="F15" i="5"/>
  <c r="G33" i="5"/>
  <c r="H17" i="7"/>
  <c r="G9" i="5"/>
  <c r="E17" i="7"/>
  <c r="D33" i="5"/>
  <c r="D9" i="5"/>
  <c r="I17" i="7" l="1"/>
  <c r="E16" i="6"/>
  <c r="E17" i="6" s="1"/>
  <c r="E34" i="5"/>
  <c r="F22" i="7" s="1"/>
  <c r="E16" i="14"/>
  <c r="D6" i="11"/>
  <c r="D11" i="11" s="1"/>
  <c r="B31" i="12"/>
  <c r="C16" i="6"/>
  <c r="C17" i="6" s="1"/>
  <c r="C34" i="5"/>
  <c r="B11" i="11"/>
  <c r="H5" i="8"/>
  <c r="B119" i="3"/>
  <c r="E5" i="8" s="1"/>
  <c r="G5" i="11"/>
  <c r="C116" i="3"/>
  <c r="C118" i="3"/>
  <c r="E116" i="3"/>
  <c r="E118" i="3"/>
  <c r="G10" i="15"/>
  <c r="G15" i="5"/>
  <c r="F16" i="14"/>
  <c r="E6" i="11"/>
  <c r="E11" i="11" s="1"/>
  <c r="C10" i="15"/>
  <c r="C14" i="12"/>
  <c r="C15" i="5"/>
  <c r="D16" i="14"/>
  <c r="C6" i="11"/>
  <c r="C11" i="11" s="1"/>
  <c r="G16" i="14"/>
  <c r="F6" i="11"/>
  <c r="F11" i="11" s="1"/>
  <c r="G16" i="6"/>
  <c r="G17" i="6" s="1"/>
  <c r="G34" i="5"/>
  <c r="H22" i="7" s="1"/>
  <c r="F116" i="3"/>
  <c r="F118" i="3"/>
  <c r="D10" i="15"/>
  <c r="D15" i="5"/>
  <c r="D16" i="6"/>
  <c r="D17" i="6" s="1"/>
  <c r="D34" i="5"/>
  <c r="E22" i="7" s="1"/>
  <c r="F42" i="12"/>
  <c r="B87" i="12" s="1"/>
  <c r="G10" i="11"/>
  <c r="E10" i="15"/>
  <c r="E15" i="5"/>
  <c r="F24" i="5" s="1"/>
  <c r="F15" i="14" s="1"/>
  <c r="F6" i="13"/>
  <c r="F10" i="13" s="1"/>
  <c r="F12" i="13" s="1"/>
  <c r="F14" i="13" s="1"/>
  <c r="F21" i="6"/>
  <c r="F23" i="6" s="1"/>
  <c r="D116" i="3"/>
  <c r="D118" i="3"/>
  <c r="H16" i="14" l="1"/>
  <c r="C9" i="16"/>
  <c r="C21" i="12"/>
  <c r="D22" i="7"/>
  <c r="C6" i="13"/>
  <c r="C10" i="13" s="1"/>
  <c r="C12" i="13" s="1"/>
  <c r="C14" i="13" s="1"/>
  <c r="C21" i="6"/>
  <c r="C23" i="6" s="1"/>
  <c r="B32" i="15"/>
  <c r="B31" i="15" s="1"/>
  <c r="B35" i="15" s="1"/>
  <c r="B24" i="16"/>
  <c r="B7" i="14"/>
  <c r="G24" i="5"/>
  <c r="G15" i="14" s="1"/>
  <c r="H9" i="8"/>
  <c r="F119" i="3"/>
  <c r="E9" i="8" s="1"/>
  <c r="H8" i="8"/>
  <c r="E119" i="3"/>
  <c r="E8" i="8" s="1"/>
  <c r="B120" i="3"/>
  <c r="F5" i="8" s="1"/>
  <c r="H8" i="16"/>
  <c r="D12" i="11"/>
  <c r="D13" i="11" s="1"/>
  <c r="H7" i="16"/>
  <c r="C12" i="11"/>
  <c r="C13" i="11" s="1"/>
  <c r="C24" i="5"/>
  <c r="C15" i="14" s="1"/>
  <c r="H7" i="8"/>
  <c r="D119" i="3"/>
  <c r="E7" i="8" s="1"/>
  <c r="C15" i="12"/>
  <c r="D14" i="12"/>
  <c r="H6" i="8"/>
  <c r="C119" i="3"/>
  <c r="E6" i="8" s="1"/>
  <c r="H6" i="16"/>
  <c r="G11" i="11"/>
  <c r="B12" i="11"/>
  <c r="E24" i="5"/>
  <c r="E15" i="14" s="1"/>
  <c r="B122" i="3"/>
  <c r="B72" i="12"/>
  <c r="D72" i="12" s="1"/>
  <c r="B73" i="12"/>
  <c r="D73" i="12" s="1"/>
  <c r="B86" i="12"/>
  <c r="D86" i="12" s="1"/>
  <c r="B70" i="12"/>
  <c r="D70" i="12" s="1"/>
  <c r="B79" i="12"/>
  <c r="D79" i="12" s="1"/>
  <c r="B84" i="12"/>
  <c r="D84" i="12" s="1"/>
  <c r="B81" i="12"/>
  <c r="D81" i="12" s="1"/>
  <c r="B76" i="12"/>
  <c r="D76" i="12" s="1"/>
  <c r="B75" i="12"/>
  <c r="D75" i="12" s="1"/>
  <c r="B77" i="12"/>
  <c r="D77" i="12" s="1"/>
  <c r="B82" i="12"/>
  <c r="D82" i="12" s="1"/>
  <c r="F44" i="12"/>
  <c r="B85" i="12"/>
  <c r="D85" i="12" s="1"/>
  <c r="B80" i="12"/>
  <c r="D80" i="12" s="1"/>
  <c r="B71" i="12"/>
  <c r="D71" i="12" s="1"/>
  <c r="B78" i="12"/>
  <c r="D78" i="12" s="1"/>
  <c r="B74" i="12"/>
  <c r="D74" i="12" s="1"/>
  <c r="B83" i="12"/>
  <c r="D83" i="12" s="1"/>
  <c r="D6" i="13"/>
  <c r="D10" i="13" s="1"/>
  <c r="D12" i="13" s="1"/>
  <c r="D14" i="13" s="1"/>
  <c r="D21" i="6"/>
  <c r="D23" i="6" s="1"/>
  <c r="G6" i="13"/>
  <c r="G10" i="13" s="1"/>
  <c r="G12" i="13" s="1"/>
  <c r="G14" i="13" s="1"/>
  <c r="G21" i="6"/>
  <c r="G23" i="6" s="1"/>
  <c r="G6" i="11"/>
  <c r="E6" i="13"/>
  <c r="E10" i="13" s="1"/>
  <c r="E12" i="13" s="1"/>
  <c r="E14" i="13" s="1"/>
  <c r="E21" i="6"/>
  <c r="E23" i="6" s="1"/>
  <c r="D24" i="5"/>
  <c r="D15" i="14" s="1"/>
  <c r="H10" i="16"/>
  <c r="F12" i="11"/>
  <c r="F13" i="11" s="1"/>
  <c r="H9" i="16"/>
  <c r="E12" i="11"/>
  <c r="E13" i="11"/>
  <c r="E11" i="8" l="1"/>
  <c r="C8" i="16"/>
  <c r="C6" i="16"/>
  <c r="E14" i="11"/>
  <c r="F33" i="15" s="1"/>
  <c r="D87" i="12"/>
  <c r="C120" i="3"/>
  <c r="F6" i="8" s="1"/>
  <c r="C7" i="16"/>
  <c r="B123" i="3"/>
  <c r="C19" i="5" s="1"/>
  <c r="D12" i="7" s="1"/>
  <c r="B126" i="3"/>
  <c r="B128" i="3" s="1"/>
  <c r="D21" i="12"/>
  <c r="C17" i="13"/>
  <c r="C19" i="13" s="1"/>
  <c r="D120" i="3"/>
  <c r="F7" i="8" s="1"/>
  <c r="E120" i="3"/>
  <c r="F8" i="8" s="1"/>
  <c r="F11" i="8" s="1"/>
  <c r="F120" i="3"/>
  <c r="F9" i="8" s="1"/>
  <c r="F7" i="16"/>
  <c r="D17" i="14"/>
  <c r="E17" i="14"/>
  <c r="F8" i="16"/>
  <c r="C14" i="11"/>
  <c r="D33" i="15" s="1"/>
  <c r="G17" i="14"/>
  <c r="F10" i="16"/>
  <c r="C122" i="3"/>
  <c r="D122" i="3"/>
  <c r="C24" i="16"/>
  <c r="H11" i="8"/>
  <c r="E6" i="16"/>
  <c r="C19" i="14"/>
  <c r="G12" i="11"/>
  <c r="G13" i="11" s="1"/>
  <c r="B13" i="11"/>
  <c r="E122" i="3"/>
  <c r="C16" i="5"/>
  <c r="C22" i="5" s="1"/>
  <c r="C25" i="5" s="1"/>
  <c r="C36" i="5" s="1"/>
  <c r="G19" i="14"/>
  <c r="E10" i="16"/>
  <c r="C22" i="12"/>
  <c r="D22" i="12" s="1"/>
  <c r="D15" i="12"/>
  <c r="H15" i="14"/>
  <c r="B29" i="16" s="1"/>
  <c r="E19" i="14"/>
  <c r="E8" i="16"/>
  <c r="F9" i="16"/>
  <c r="F17" i="14"/>
  <c r="E9" i="16"/>
  <c r="F19" i="14"/>
  <c r="F14" i="11"/>
  <c r="G33" i="15" s="1"/>
  <c r="H12" i="16"/>
  <c r="D14" i="11"/>
  <c r="E33" i="15" s="1"/>
  <c r="F122" i="3"/>
  <c r="E7" i="16"/>
  <c r="D19" i="14"/>
  <c r="B5" i="14"/>
  <c r="F123" i="3" l="1"/>
  <c r="G19" i="5" s="1"/>
  <c r="F126" i="3"/>
  <c r="F128" i="3" s="1"/>
  <c r="D123" i="3"/>
  <c r="E19" i="5" s="1"/>
  <c r="F12" i="7" s="1"/>
  <c r="F18" i="7" s="1"/>
  <c r="D126" i="3"/>
  <c r="D128" i="3" s="1"/>
  <c r="E123" i="3"/>
  <c r="F19" i="5" s="1"/>
  <c r="G12" i="7" s="1"/>
  <c r="G18" i="7" s="1"/>
  <c r="E126" i="3"/>
  <c r="E128" i="3" s="1"/>
  <c r="C123" i="3"/>
  <c r="D19" i="5" s="1"/>
  <c r="E12" i="7" s="1"/>
  <c r="E18" i="7" s="1"/>
  <c r="C126" i="3"/>
  <c r="C128" i="3" s="1"/>
  <c r="C10" i="16"/>
  <c r="E16" i="5"/>
  <c r="E22" i="5" s="1"/>
  <c r="E12" i="16"/>
  <c r="D18" i="7"/>
  <c r="G16" i="5"/>
  <c r="G22" i="5" s="1"/>
  <c r="H19" i="14"/>
  <c r="C12" i="16"/>
  <c r="L27" i="16" s="1"/>
  <c r="C29" i="16"/>
  <c r="C17" i="14"/>
  <c r="F6" i="16"/>
  <c r="F12" i="16" s="1"/>
  <c r="G24" i="16"/>
  <c r="B14" i="11"/>
  <c r="D16" i="5" l="1"/>
  <c r="D22" i="5" s="1"/>
  <c r="D25" i="5" s="1"/>
  <c r="D36" i="5" s="1"/>
  <c r="F16" i="5"/>
  <c r="F22" i="5"/>
  <c r="F25" i="5" s="1"/>
  <c r="F36" i="5" s="1"/>
  <c r="I16" i="5"/>
  <c r="I22" i="5"/>
  <c r="H12" i="7"/>
  <c r="H18" i="7" s="1"/>
  <c r="I18" i="7" s="1"/>
  <c r="C9" i="8" s="1"/>
  <c r="H15" i="16"/>
  <c r="C6" i="8"/>
  <c r="D31" i="14" s="1"/>
  <c r="E23" i="7"/>
  <c r="M30" i="16"/>
  <c r="H23" i="7"/>
  <c r="E25" i="5"/>
  <c r="E36" i="5" s="1"/>
  <c r="C8" i="8"/>
  <c r="F31" i="14" s="1"/>
  <c r="G23" i="7"/>
  <c r="G25" i="7" s="1"/>
  <c r="C7" i="8"/>
  <c r="E31" i="14" s="1"/>
  <c r="F23" i="7"/>
  <c r="H17" i="14"/>
  <c r="M34" i="16" s="1"/>
  <c r="C33" i="15"/>
  <c r="D34" i="15" s="1"/>
  <c r="E34" i="15" s="1"/>
  <c r="F34" i="15" s="1"/>
  <c r="G34" i="15" s="1"/>
  <c r="C19" i="12"/>
  <c r="G14" i="11"/>
  <c r="H24" i="16"/>
  <c r="C5" i="8"/>
  <c r="C31" i="14" s="1"/>
  <c r="D14" i="16"/>
  <c r="G25" i="5" l="1"/>
  <c r="G36" i="5" s="1"/>
  <c r="I12" i="7"/>
  <c r="H25" i="7"/>
  <c r="C11" i="8"/>
  <c r="M20" i="8" s="1"/>
  <c r="B6" i="10"/>
  <c r="D6" i="8"/>
  <c r="G6" i="8" s="1"/>
  <c r="D26" i="6"/>
  <c r="D17" i="13" s="1"/>
  <c r="E25" i="7"/>
  <c r="G26" i="6"/>
  <c r="G17" i="13" s="1"/>
  <c r="D9" i="8"/>
  <c r="G9" i="8" s="1"/>
  <c r="M32" i="16"/>
  <c r="D19" i="12"/>
  <c r="C20" i="12"/>
  <c r="M33" i="16"/>
  <c r="D7" i="8"/>
  <c r="G7" i="8" s="1"/>
  <c r="E26" i="6"/>
  <c r="E17" i="13" s="1"/>
  <c r="F25" i="7"/>
  <c r="D8" i="8"/>
  <c r="G8" i="8" s="1"/>
  <c r="F26" i="6"/>
  <c r="F17" i="13" s="1"/>
  <c r="D23" i="7"/>
  <c r="I22" i="7"/>
  <c r="D7" i="16" l="1"/>
  <c r="G7" i="16" s="1"/>
  <c r="D21" i="14"/>
  <c r="D13" i="14" s="1"/>
  <c r="F6" i="10"/>
  <c r="D10" i="16"/>
  <c r="G10" i="16" s="1"/>
  <c r="G21" i="14"/>
  <c r="G13" i="14" s="1"/>
  <c r="C23" i="12"/>
  <c r="D20" i="12"/>
  <c r="D8" i="16"/>
  <c r="G8" i="16" s="1"/>
  <c r="E21" i="14"/>
  <c r="E13" i="14" s="1"/>
  <c r="D5" i="8"/>
  <c r="C26" i="6"/>
  <c r="I23" i="7"/>
  <c r="D25" i="7"/>
  <c r="I25" i="7" s="1"/>
  <c r="D9" i="16"/>
  <c r="G9" i="16" s="1"/>
  <c r="F21" i="14"/>
  <c r="F13" i="14" s="1"/>
  <c r="C27" i="6" l="1"/>
  <c r="C28" i="6"/>
  <c r="J5" i="8" s="1"/>
  <c r="C26" i="12"/>
  <c r="D23" i="12"/>
  <c r="B7" i="10"/>
  <c r="D11" i="8"/>
  <c r="G5" i="8"/>
  <c r="G11" i="8" s="1"/>
  <c r="F7" i="10" l="1"/>
  <c r="B8" i="10"/>
  <c r="C27" i="12"/>
  <c r="D26" i="12"/>
  <c r="D25" i="6"/>
  <c r="C30" i="6"/>
  <c r="K5" i="8"/>
  <c r="D6" i="16"/>
  <c r="C21" i="14"/>
  <c r="C18" i="13"/>
  <c r="K6" i="16" l="1"/>
  <c r="B11" i="15"/>
  <c r="B5" i="15" s="1"/>
  <c r="C11" i="14"/>
  <c r="B23" i="15"/>
  <c r="B12" i="15" s="1"/>
  <c r="H21" i="14"/>
  <c r="C13" i="14"/>
  <c r="H13" i="14" s="1"/>
  <c r="D16" i="13"/>
  <c r="D19" i="13" s="1"/>
  <c r="C21" i="13"/>
  <c r="D12" i="16"/>
  <c r="G6" i="16"/>
  <c r="G12" i="16" s="1"/>
  <c r="D28" i="6"/>
  <c r="J6" i="8" s="1"/>
  <c r="D27" i="6"/>
  <c r="C32" i="12"/>
  <c r="D27" i="12"/>
  <c r="E5" i="10"/>
  <c r="E6" i="10"/>
  <c r="C5" i="10"/>
  <c r="G5" i="10"/>
  <c r="C6" i="10"/>
  <c r="G6" i="10"/>
  <c r="G7" i="10"/>
  <c r="F8" i="10"/>
  <c r="L5" i="8"/>
  <c r="C7" i="10"/>
  <c r="E8" i="10" l="1"/>
  <c r="K6" i="8"/>
  <c r="C31" i="12"/>
  <c r="D32" i="12"/>
  <c r="B24" i="15"/>
  <c r="M5" i="8"/>
  <c r="D18" i="13"/>
  <c r="C23" i="15"/>
  <c r="C12" i="15" s="1"/>
  <c r="E25" i="6"/>
  <c r="D30" i="6"/>
  <c r="G8" i="10"/>
  <c r="C8" i="10"/>
  <c r="L6" i="16"/>
  <c r="E30" i="12" l="1"/>
  <c r="E29" i="12"/>
  <c r="B38" i="15"/>
  <c r="B39" i="15"/>
  <c r="L18" i="15" s="1"/>
  <c r="B25" i="16"/>
  <c r="C7" i="14"/>
  <c r="C32" i="15"/>
  <c r="D31" i="12"/>
  <c r="E31" i="12" s="1"/>
  <c r="M6" i="16"/>
  <c r="L6" i="8"/>
  <c r="M6" i="8" s="1"/>
  <c r="E27" i="6"/>
  <c r="E28" i="6"/>
  <c r="J7" i="8" s="1"/>
  <c r="K7" i="16"/>
  <c r="C11" i="15"/>
  <c r="D11" i="14"/>
  <c r="E16" i="13"/>
  <c r="E19" i="13" s="1"/>
  <c r="D21" i="13"/>
  <c r="E32" i="12" l="1"/>
  <c r="D32" i="15"/>
  <c r="D31" i="15" s="1"/>
  <c r="D35" i="15" s="1"/>
  <c r="G32" i="15"/>
  <c r="G31" i="15" s="1"/>
  <c r="G35" i="15" s="1"/>
  <c r="E32" i="15"/>
  <c r="E31" i="15" s="1"/>
  <c r="E35" i="15" s="1"/>
  <c r="C31" i="15"/>
  <c r="C35" i="15" s="1"/>
  <c r="F32" i="15"/>
  <c r="F31" i="15" s="1"/>
  <c r="F35" i="15" s="1"/>
  <c r="C25" i="16"/>
  <c r="C31" i="16" s="1"/>
  <c r="B31" i="16"/>
  <c r="L7" i="16"/>
  <c r="F25" i="6"/>
  <c r="E30" i="6"/>
  <c r="D23" i="15"/>
  <c r="D12" i="15" s="1"/>
  <c r="E18" i="13"/>
  <c r="K7" i="8"/>
  <c r="C5" i="14"/>
  <c r="H7" i="14"/>
  <c r="N6" i="16"/>
  <c r="D11" i="15" l="1"/>
  <c r="E11" i="14"/>
  <c r="K8" i="16"/>
  <c r="C24" i="14"/>
  <c r="M7" i="16"/>
  <c r="F16" i="13"/>
  <c r="F19" i="13" s="1"/>
  <c r="E21" i="13"/>
  <c r="F27" i="6"/>
  <c r="F28" i="6"/>
  <c r="J8" i="8" s="1"/>
  <c r="L7" i="8"/>
  <c r="C27" i="14" l="1"/>
  <c r="L8" i="16"/>
  <c r="N7" i="16"/>
  <c r="M7" i="8"/>
  <c r="K8" i="8"/>
  <c r="G25" i="6"/>
  <c r="F30" i="6"/>
  <c r="E23" i="15"/>
  <c r="E12" i="15" s="1"/>
  <c r="F18" i="13"/>
  <c r="G16" i="13" l="1"/>
  <c r="G19" i="13" s="1"/>
  <c r="F21" i="13"/>
  <c r="E11" i="15"/>
  <c r="F11" i="14"/>
  <c r="K9" i="16"/>
  <c r="G27" i="6"/>
  <c r="G28" i="6"/>
  <c r="J9" i="8" s="1"/>
  <c r="M8" i="16"/>
  <c r="D15" i="16" s="1"/>
  <c r="L8" i="8"/>
  <c r="M8" i="8" s="1"/>
  <c r="D14" i="8"/>
  <c r="C8" i="15"/>
  <c r="C5" i="15" s="1"/>
  <c r="C24" i="15" s="1"/>
  <c r="C28" i="14"/>
  <c r="D6" i="14"/>
  <c r="E25" i="16" l="1"/>
  <c r="C38" i="15"/>
  <c r="C39" i="15"/>
  <c r="G30" i="6"/>
  <c r="L9" i="16"/>
  <c r="K9" i="8"/>
  <c r="J11" i="8"/>
  <c r="M19" i="8" s="1"/>
  <c r="D5" i="14"/>
  <c r="N8" i="16"/>
  <c r="G18" i="13"/>
  <c r="G21" i="13" s="1"/>
  <c r="D24" i="14" l="1"/>
  <c r="M9" i="16"/>
  <c r="F11" i="15"/>
  <c r="G11" i="14"/>
  <c r="H11" i="14" s="1"/>
  <c r="K10" i="16"/>
  <c r="L9" i="8"/>
  <c r="K11" i="8"/>
  <c r="L11" i="8" s="1"/>
  <c r="F23" i="15"/>
  <c r="F12" i="15" s="1"/>
  <c r="F25" i="16"/>
  <c r="D15" i="8" l="1"/>
  <c r="M9" i="8"/>
  <c r="M21" i="8" s="1"/>
  <c r="L10" i="16"/>
  <c r="K12" i="16"/>
  <c r="L26" i="16" s="1"/>
  <c r="G25" i="16"/>
  <c r="N9" i="16"/>
  <c r="D13" i="8"/>
  <c r="B22" i="8"/>
  <c r="D27" i="14"/>
  <c r="H25" i="16" l="1"/>
  <c r="D8" i="15"/>
  <c r="D5" i="15" s="1"/>
  <c r="D24" i="15" s="1"/>
  <c r="D28" i="14"/>
  <c r="E6" i="14"/>
  <c r="M10" i="16"/>
  <c r="L12" i="16"/>
  <c r="D42" i="15" l="1"/>
  <c r="D41" i="15"/>
  <c r="N10" i="16"/>
  <c r="D16" i="16"/>
  <c r="M12" i="16"/>
  <c r="E5" i="14"/>
  <c r="E26" i="16"/>
  <c r="D38" i="15"/>
  <c r="D39" i="15"/>
  <c r="E24" i="14" l="1"/>
  <c r="F26" i="16"/>
  <c r="L28" i="16"/>
  <c r="G26" i="16" l="1"/>
  <c r="E27" i="14"/>
  <c r="E28" i="14" l="1"/>
  <c r="F6" i="14"/>
  <c r="E8" i="15"/>
  <c r="E5" i="15" s="1"/>
  <c r="E24" i="15" s="1"/>
  <c r="H26" i="16"/>
  <c r="E38" i="15" l="1"/>
  <c r="E39" i="15"/>
  <c r="L19" i="15" s="1"/>
  <c r="F5" i="14"/>
  <c r="F24" i="14" s="1"/>
  <c r="E27" i="16"/>
  <c r="F27" i="14" l="1"/>
  <c r="F27" i="16"/>
  <c r="G27" i="16" l="1"/>
  <c r="F8" i="15"/>
  <c r="F5" i="15" s="1"/>
  <c r="F24" i="15" s="1"/>
  <c r="F28" i="14"/>
  <c r="E28" i="16" s="1"/>
  <c r="G6" i="14"/>
  <c r="G5" i="14" l="1"/>
  <c r="H6" i="14"/>
  <c r="F39" i="15"/>
  <c r="F38" i="15"/>
  <c r="F28" i="16"/>
  <c r="G28" i="16" s="1"/>
  <c r="H27" i="16"/>
  <c r="H28" i="16" l="1"/>
  <c r="G24" i="14"/>
  <c r="H5" i="14"/>
  <c r="G27" i="14" l="1"/>
  <c r="H24" i="14"/>
  <c r="G28" i="14" l="1"/>
  <c r="G8" i="15"/>
  <c r="G5" i="15" s="1"/>
  <c r="G24" i="15" s="1"/>
  <c r="G38" i="15" l="1"/>
  <c r="G39" i="15"/>
  <c r="L36" i="16"/>
  <c r="E29" i="16"/>
  <c r="H28" i="14"/>
  <c r="M31" i="16" l="1"/>
  <c r="M25" i="16" s="1"/>
  <c r="F29" i="16"/>
  <c r="E31" i="16"/>
  <c r="G29" i="16" l="1"/>
  <c r="F31" i="16"/>
  <c r="H29" i="16" l="1"/>
  <c r="D36" i="16" s="1"/>
  <c r="G31" i="16"/>
  <c r="D35" i="16"/>
  <c r="N33" i="16" l="1"/>
  <c r="O33" i="16" s="1"/>
  <c r="N30" i="16"/>
  <c r="O30" i="16" s="1"/>
  <c r="N32" i="16"/>
  <c r="O32" i="16" s="1"/>
  <c r="N34" i="16"/>
  <c r="O34" i="16" s="1"/>
  <c r="N31" i="16"/>
  <c r="O31" i="16" s="1"/>
  <c r="D34" i="16"/>
  <c r="L30" i="16"/>
  <c r="L32" i="16"/>
  <c r="L34" i="16"/>
  <c r="L33" i="16"/>
  <c r="L31" i="16"/>
</calcChain>
</file>

<file path=xl/sharedStrings.xml><?xml version="1.0" encoding="utf-8"?>
<sst xmlns="http://schemas.openxmlformats.org/spreadsheetml/2006/main" count="1199" uniqueCount="724">
  <si>
    <t>ESTA PLANILLA PUEDE SER UTILIZADA SOLAMENTE PARA EL TRABAJO PRACTICO:</t>
  </si>
  <si>
    <t>Bienes de Uso</t>
  </si>
  <si>
    <t>Reglas y consideraciones a tener en cuenta antes de entregar para corregir</t>
  </si>
  <si>
    <t>Terreno</t>
  </si>
  <si>
    <t>Valor USD</t>
  </si>
  <si>
    <t>Valor $</t>
  </si>
  <si>
    <t>Tasa porcentual de IVA</t>
  </si>
  <si>
    <t>Terreno. Tres de Feb.</t>
  </si>
  <si>
    <r>
      <rPr>
        <sz val="10"/>
        <color rgb="FFFFFFFF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</si>
  <si>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</si>
  <si>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</si>
  <si>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https://www.argenprop.com/Propiedades/Detalles/9567066--Terreno-en-Venta-en-Pdo.-de-Tres-De-Febrero?ViewNameResult=VistaResultados</t>
  </si>
  <si>
    <t>Variable sobre Utilidad económica antes de HD e IG</t>
  </si>
  <si>
    <t>Edificio</t>
  </si>
  <si>
    <t>Valor $/m2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</si>
  <si>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</si>
  <si>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</si>
  <si>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</si>
  <si>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>http://www.copaipa.org.ar/costos-de-la-construccion/</t>
  </si>
  <si>
    <t>Maquinarias</t>
  </si>
  <si>
    <t>Cantidad</t>
  </si>
  <si>
    <t>Valor Total</t>
  </si>
  <si>
    <t>Cortadora</t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</si>
  <si>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</si>
  <si>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</si>
  <si>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</si>
  <si>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</si>
  <si>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</si>
  <si>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</si>
  <si>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</si>
  <si>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</si>
  <si>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</si>
  <si>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</si>
  <si>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</si>
  <si>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</si>
  <si>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</si>
  <si>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Cuadresa (Hamburguesa cuadrada)</t>
  </si>
  <si>
    <t>Ventas Anuales Promedio</t>
  </si>
  <si>
    <t>en Unidades</t>
  </si>
  <si>
    <t>(Referenica Dim. Comercial)</t>
  </si>
  <si>
    <t>Precio Promedio</t>
  </si>
  <si>
    <t>en $</t>
  </si>
  <si>
    <t xml:space="preserve">Cantidad de personal total </t>
  </si>
  <si>
    <t>en Producción</t>
  </si>
  <si>
    <t>personas</t>
  </si>
  <si>
    <t>(Referencia Dim. Tecnico)</t>
  </si>
  <si>
    <t>en Comercialización</t>
  </si>
  <si>
    <t>en Administración</t>
  </si>
  <si>
    <t>Tamaño de la planta en metros cuadrados</t>
  </si>
  <si>
    <t>m2</t>
  </si>
  <si>
    <t>(Referencia Dim. Tecnico, calculo area planta)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</si>
  <si>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</si>
  <si>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</si>
  <si>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</si>
  <si>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</si>
  <si>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</si>
  <si>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</si>
  <si>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</si>
  <si>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</si>
  <si>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</si>
  <si>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</si>
  <si>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Rodados, Máquinas y Edificio</t>
  </si>
  <si>
    <t>% sobre el total del Rubro</t>
  </si>
  <si>
    <t>Dias de Financiación de Proveedores</t>
  </si>
  <si>
    <t>% sobre Compras</t>
  </si>
  <si>
    <t>Tasa de financiación</t>
  </si>
  <si>
    <t>https://articulo.mercadolibre.com.ar/MLA-677029584-sierra-carnicera-carnic-2400-p-_JM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</si>
  <si>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</si>
  <si>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</si>
  <si>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</si>
  <si>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</si>
  <si>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</si>
  <si>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</si>
  <si>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</si>
  <si>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</si>
  <si>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</si>
  <si>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</si>
  <si>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</si>
  <si>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</si>
  <si>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</si>
  <si>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</si>
  <si>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</si>
  <si>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</si>
  <si>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 xml:space="preserve">Picadora </t>
  </si>
  <si>
    <t>Muebles y útiles</t>
  </si>
  <si>
    <t>https://articulo.mercadolibre.com.ar/MLA-616070065-picadora-de-carne-industrial-fineschi-n42-3hp-trifasica-_JM</t>
  </si>
  <si>
    <t>Infraestructura en predio propio</t>
  </si>
  <si>
    <t xml:space="preserve">Mezcladora </t>
  </si>
  <si>
    <t>https://articulo.mercadolibre.com.ar/MLA-622785435-mezcladora-de-carne-190-lts-fineschi-acero-2-eje-trifasica-_JM</t>
  </si>
  <si>
    <t>Total Bienes de uso</t>
  </si>
  <si>
    <t>Formadora</t>
  </si>
  <si>
    <t>https://articulo.mercadolibre.com.ar/MLA-718928314-formadora-de-hamburguesas-gesame-mh-100-_JM</t>
  </si>
  <si>
    <t>Empaquetadora</t>
  </si>
  <si>
    <t>b) Gastos asimilables o cargos diferidos</t>
  </si>
  <si>
    <t>Investigaciones y estudios</t>
  </si>
  <si>
    <t>24 Lucas da 5 lotes (800kilos)</t>
  </si>
  <si>
    <t>https://articulo.mercadolibre.com.ar/MLA-603509546-envasadora-flow-pack-jake-sd-_JM</t>
  </si>
  <si>
    <t>Constitución y organización de la empresa</t>
  </si>
  <si>
    <t>Camara Frigorifica</t>
  </si>
  <si>
    <t>Gastos de Admin. e Ing. En en período de Instalación</t>
  </si>
  <si>
    <t>Gastos de puesta en marcha (AL AÑO 1)</t>
  </si>
  <si>
    <t>https://articulo.mercadolibre.com.ar/MLA-746043948-camara-frigorifica-2x4x25-paneles-de-33-puerta-3hp-frances-_JM</t>
  </si>
  <si>
    <t>Patentes y Licencias</t>
  </si>
  <si>
    <t>http://www.anmat.gov.ar/boletin_anmat/BO/Disposicion_1607-2016.pdf</t>
  </si>
  <si>
    <t>Infraestructura en predio ajeno</t>
  </si>
  <si>
    <t xml:space="preserve">Rodados </t>
  </si>
  <si>
    <t>camiones</t>
  </si>
  <si>
    <t>https://vehiculo.mercadolibre.com.ar/MLA-721406783-mercedes-benz-1215-furgon-termico-1995-forcam-_JM</t>
  </si>
  <si>
    <t>Consumo combustible</t>
  </si>
  <si>
    <t>Total gastos asimilables o cargos diferidos</t>
  </si>
  <si>
    <t>Año 2 a 5</t>
  </si>
  <si>
    <t>Considerando que el 6l de nafta rinden 50km y cuestan $33</t>
  </si>
  <si>
    <t>c) Total Inversiones iniciales Activo Fijo, sin IVA</t>
  </si>
  <si>
    <t>año 1:20000km aprox, del 2 al 5: 30000km</t>
  </si>
  <si>
    <t xml:space="preserve">d) IVA </t>
  </si>
  <si>
    <t>Sector Admin</t>
  </si>
  <si>
    <t>Sector Comercial</t>
  </si>
  <si>
    <t>Sector Producción</t>
  </si>
  <si>
    <t>Escritorios</t>
  </si>
  <si>
    <t>e) TOTAL INVERSIONES INICIALES ACTIVO FIJO</t>
  </si>
  <si>
    <t>Sillas</t>
  </si>
  <si>
    <t>Rubro</t>
  </si>
  <si>
    <t>Inversión</t>
  </si>
  <si>
    <t>Coeficiente</t>
  </si>
  <si>
    <t>Alícuotas de amortización</t>
  </si>
  <si>
    <t>Valor residual</t>
  </si>
  <si>
    <t>Computadora</t>
  </si>
  <si>
    <t>% producción</t>
  </si>
  <si>
    <t>% administración</t>
  </si>
  <si>
    <t>% comercial</t>
  </si>
  <si>
    <t>Aire acondicionado</t>
  </si>
  <si>
    <t>original</t>
  </si>
  <si>
    <t>Años 1/3</t>
  </si>
  <si>
    <t>Años 4/5</t>
  </si>
  <si>
    <t>Cesto de basura</t>
  </si>
  <si>
    <t xml:space="preserve">Pizzara </t>
  </si>
  <si>
    <t>Matafuego</t>
  </si>
  <si>
    <t>Botiquin primeros auxilios</t>
  </si>
  <si>
    <t>Señalizaciones varias</t>
  </si>
  <si>
    <t xml:space="preserve">Reloj de pared </t>
  </si>
  <si>
    <t>Caja de herramientas</t>
  </si>
  <si>
    <t xml:space="preserve">Articulos de limpieza </t>
  </si>
  <si>
    <t xml:space="preserve">Articulos de higiene </t>
  </si>
  <si>
    <t>Calzado de seguridad</t>
  </si>
  <si>
    <t>Indumentaria de trabajo</t>
  </si>
  <si>
    <t>Guantes de manipulación</t>
  </si>
  <si>
    <t>Kit proteccion auditivo</t>
  </si>
  <si>
    <t>Lentes de proteccion</t>
  </si>
  <si>
    <t>Zorras</t>
  </si>
  <si>
    <t>Banco para operarios</t>
  </si>
  <si>
    <t>Impresora</t>
  </si>
  <si>
    <t xml:space="preserve">Cofia </t>
  </si>
  <si>
    <t>Barbijos</t>
  </si>
  <si>
    <t>Estanteria archivadora</t>
  </si>
  <si>
    <t xml:space="preserve">Articulos librería </t>
  </si>
  <si>
    <t>Fichadores</t>
  </si>
  <si>
    <t>Repuestos</t>
  </si>
  <si>
    <t>Subtotal</t>
  </si>
  <si>
    <t xml:space="preserve">Tornillos </t>
  </si>
  <si>
    <t xml:space="preserve">Cargos Diferidos </t>
  </si>
  <si>
    <t>Tuercas</t>
  </si>
  <si>
    <t>Bolsas</t>
  </si>
  <si>
    <t>Luces de heladera</t>
  </si>
  <si>
    <t>Aceite de máquinas</t>
  </si>
  <si>
    <t>Filtros</t>
  </si>
  <si>
    <t>Guantes Latex</t>
  </si>
  <si>
    <t>Mangueras</t>
  </si>
  <si>
    <t>Totales, s/IVA</t>
  </si>
  <si>
    <t>Distribución de Superficie por Departamento</t>
  </si>
  <si>
    <r>
      <t>m</t>
    </r>
    <r>
      <rPr>
        <b/>
        <vertAlign val="superscript"/>
        <sz val="10"/>
        <rFont val="Calibri"/>
        <family val="2"/>
      </rPr>
      <t>2</t>
    </r>
  </si>
  <si>
    <t>%</t>
  </si>
  <si>
    <t>Área de Producción</t>
  </si>
  <si>
    <t>Área de Administración</t>
  </si>
  <si>
    <t>Área de Comercialización</t>
  </si>
  <si>
    <t>Área Total</t>
  </si>
  <si>
    <t>Materia Prima</t>
  </si>
  <si>
    <t>AÑO 1</t>
  </si>
  <si>
    <t>Nro de componente</t>
  </si>
  <si>
    <t>Componente</t>
  </si>
  <si>
    <t>Cantidad/KG</t>
  </si>
  <si>
    <t>Unidad</t>
  </si>
  <si>
    <t>Precio unitario</t>
  </si>
  <si>
    <t>Costo Variable Total</t>
  </si>
  <si>
    <t>Carne</t>
  </si>
  <si>
    <t>kg</t>
  </si>
  <si>
    <t>www.ipcva.com.ar/.../1486_1456326140_informemensualdepreciosn117.pdf</t>
  </si>
  <si>
    <t>Sal</t>
  </si>
  <si>
    <t>https://articulo.mercadolibre.com.ar/MLA-625958382-sal-fina-celusal-x-25-kg-_JM</t>
  </si>
  <si>
    <t>Conservantes</t>
  </si>
  <si>
    <t>(Contacto frigorifico. 3u$d x KG diluyendose en agua relacion 3 a 1)</t>
  </si>
  <si>
    <t xml:space="preserve">Saborizantes </t>
  </si>
  <si>
    <t>Colorantes</t>
  </si>
  <si>
    <t>Total</t>
  </si>
  <si>
    <t>AÑO 2 a 5</t>
  </si>
  <si>
    <t>Mano de Obra Directa</t>
  </si>
  <si>
    <t>Sueldo básico x hora</t>
  </si>
  <si>
    <t>Sueldos básicos anualizados</t>
  </si>
  <si>
    <t>Cargas Sociales (23%)</t>
  </si>
  <si>
    <t>Adicionales (25%)</t>
  </si>
  <si>
    <t>Sueldo Bruto 
y Cargas Sociales</t>
  </si>
  <si>
    <t>Días de trabajo al año</t>
  </si>
  <si>
    <t>PPM - Horas (-)</t>
  </si>
  <si>
    <t>Horas diarias</t>
  </si>
  <si>
    <t>Horas totales</t>
  </si>
  <si>
    <t>Mano de Obra Indirecta (Producción)</t>
  </si>
  <si>
    <t>MOI</t>
  </si>
  <si>
    <t>Sueldo Básico mensual</t>
  </si>
  <si>
    <t>Costo laboral mensual</t>
  </si>
  <si>
    <t>Supervisor de planta</t>
  </si>
  <si>
    <t>Limpieza</t>
  </si>
  <si>
    <t>Seguridad</t>
  </si>
  <si>
    <t>Totales</t>
  </si>
  <si>
    <t>MC y SE</t>
  </si>
  <si>
    <t>Año 2 a 3</t>
  </si>
  <si>
    <t>Año 4 a 5</t>
  </si>
  <si>
    <t>Gasto específico MOI</t>
  </si>
  <si>
    <t>Personal indirecto imputado</t>
  </si>
  <si>
    <t>Mano de Obra Indirecta (Administración)</t>
  </si>
  <si>
    <t xml:space="preserve">Gerente General </t>
  </si>
  <si>
    <t>Gerente Adm y Ventas</t>
  </si>
  <si>
    <t>Admin Junior</t>
  </si>
  <si>
    <t>Gerente Logistica</t>
  </si>
  <si>
    <t>Mano de Obra Indirecta (Comercial)</t>
  </si>
  <si>
    <t>Atención Cliente</t>
  </si>
  <si>
    <t>Chofer 1</t>
  </si>
  <si>
    <t>Chofer 2</t>
  </si>
  <si>
    <t>Materiales</t>
  </si>
  <si>
    <t>Producción</t>
  </si>
  <si>
    <t>Valores de referencia</t>
  </si>
  <si>
    <t>Costo de los materiales</t>
  </si>
  <si>
    <t>Origen</t>
  </si>
  <si>
    <t>Año 2 y 3</t>
  </si>
  <si>
    <t>Año 4 y 5</t>
  </si>
  <si>
    <t>Personal</t>
  </si>
  <si>
    <t>Costo de Materiales por año</t>
  </si>
  <si>
    <t>Debido al PPM en el año 1 se estima menor importe en consumo de materiales de mantenimento y repuestos</t>
  </si>
  <si>
    <t>Los últimos 2 años tienen un aumento del 5% los gastos relacionados al consumo de repuestos y mantenimiento</t>
  </si>
  <si>
    <t>Gasto específico materiales</t>
  </si>
  <si>
    <t>Materiales imputado</t>
  </si>
  <si>
    <t>Administración</t>
  </si>
  <si>
    <t>Mantenimiento</t>
  </si>
  <si>
    <t>Papelería y útiles</t>
  </si>
  <si>
    <t>Limpieza e Higiene</t>
  </si>
  <si>
    <t>Criterio utilizado para distribución de Papelería: Porcentaje de MOD.</t>
  </si>
  <si>
    <t>Comercialización</t>
  </si>
  <si>
    <t>Energía eléctrica</t>
  </si>
  <si>
    <t>Concepto</t>
  </si>
  <si>
    <t>Cant</t>
  </si>
  <si>
    <t>Potencia</t>
  </si>
  <si>
    <t>Horas Año</t>
  </si>
  <si>
    <t>Consumo Anual</t>
  </si>
  <si>
    <t>Horas por dia</t>
  </si>
  <si>
    <t>Consumo Eléctrico</t>
  </si>
  <si>
    <t>kW</t>
  </si>
  <si>
    <t>Hs</t>
  </si>
  <si>
    <t>kWh</t>
  </si>
  <si>
    <t>Cargo Fijo</t>
  </si>
  <si>
    <t>Cargo Pot Convenida</t>
  </si>
  <si>
    <t>Picadora</t>
  </si>
  <si>
    <t>Cargo Variable</t>
  </si>
  <si>
    <t>Mezcladora</t>
  </si>
  <si>
    <t>Total anual</t>
  </si>
  <si>
    <t>Frigorifico</t>
  </si>
  <si>
    <t>Iluminacion Led</t>
  </si>
  <si>
    <t>Total mensual</t>
  </si>
  <si>
    <t>Extractores</t>
  </si>
  <si>
    <t>http://www.edesur.com.ar/cuadro_tarifario.pdf</t>
  </si>
  <si>
    <t>Potencia inst. convenida</t>
  </si>
  <si>
    <t>Prorrateo mens (kWh)</t>
  </si>
  <si>
    <t>Gasto específico energía</t>
  </si>
  <si>
    <t>Energía eléctrica imputado</t>
  </si>
  <si>
    <t>Administración y Comercial</t>
  </si>
  <si>
    <t>hs de uso diario</t>
  </si>
  <si>
    <t>Kw</t>
  </si>
  <si>
    <t>Computadoras mas hardware</t>
  </si>
  <si>
    <t>Heladera</t>
  </si>
  <si>
    <t>Microondas</t>
  </si>
  <si>
    <t>Pava eléctrica</t>
  </si>
  <si>
    <t>Televisor</t>
  </si>
  <si>
    <t>Ventiladores</t>
  </si>
  <si>
    <t>Lamparas</t>
  </si>
  <si>
    <t>Telefono</t>
  </si>
  <si>
    <t>Modem</t>
  </si>
  <si>
    <t>ADM</t>
  </si>
  <si>
    <t>COM</t>
  </si>
  <si>
    <t>Distribución*</t>
  </si>
  <si>
    <t>* Según Porcentaje MyU</t>
  </si>
  <si>
    <t>Stock promedio de MP</t>
  </si>
  <si>
    <t xml:space="preserve">Año 0 </t>
  </si>
  <si>
    <t xml:space="preserve">Año 1 a 5 </t>
  </si>
  <si>
    <t>Stock de PT</t>
  </si>
  <si>
    <t>Año 1 a 5</t>
  </si>
  <si>
    <t>Producción Año 1 (unid)</t>
  </si>
  <si>
    <t>Producción Año 1 (kgs)</t>
  </si>
  <si>
    <t>Producción Año 2 a 5 (unid)</t>
  </si>
  <si>
    <t>Producción Año 2 a 5 (kgs)</t>
  </si>
  <si>
    <t>Demanda PT (kg) Año 1</t>
  </si>
  <si>
    <t>Alimentación MP (kg) Año 1</t>
  </si>
  <si>
    <t>Consumo especifico Año 1</t>
  </si>
  <si>
    <t>Demanda PT (kg) Año 2 a 5</t>
  </si>
  <si>
    <t>Alimentación MP (kg) Año 2 a 5</t>
  </si>
  <si>
    <t>Del Dim Tecnico</t>
  </si>
  <si>
    <t>Consumo especifico Año 2 a 5</t>
  </si>
  <si>
    <t xml:space="preserve"> </t>
  </si>
  <si>
    <t>Mercaderia en curso y Semi elaborado</t>
  </si>
  <si>
    <t>Nro</t>
  </si>
  <si>
    <t>Ítem</t>
  </si>
  <si>
    <t>Alimentación (U.O.)</t>
  </si>
  <si>
    <t>Un. Origen(U.O)</t>
  </si>
  <si>
    <t>Stock MC y SE</t>
  </si>
  <si>
    <t>Costo MC Y SE</t>
  </si>
  <si>
    <t>carne</t>
  </si>
  <si>
    <t>KG</t>
  </si>
  <si>
    <t>sal</t>
  </si>
  <si>
    <t>conservantes</t>
  </si>
  <si>
    <t>saborizantes</t>
  </si>
  <si>
    <t>colorantes</t>
  </si>
  <si>
    <t>Total DEMANDA kg</t>
  </si>
  <si>
    <t>MC Y SE</t>
  </si>
  <si>
    <t>Desperdicio operativo real</t>
  </si>
  <si>
    <t>Gasto específico</t>
  </si>
  <si>
    <t>$/kg PT</t>
  </si>
  <si>
    <t>MC Y SE sin desperdicio</t>
  </si>
  <si>
    <t>Costo MOD en MC y SE</t>
  </si>
  <si>
    <t>Desperdicio No Recuperable</t>
  </si>
  <si>
    <t>Importe imputable a MCySE</t>
  </si>
  <si>
    <t>Gasto especifico a MCySE</t>
  </si>
  <si>
    <t>Amortización imputada</t>
  </si>
  <si>
    <t>Gasto de Puesta en Marcha</t>
  </si>
  <si>
    <t>Gasto específico MP Año 1</t>
  </si>
  <si>
    <t>MP</t>
  </si>
  <si>
    <t>Gasto específico MP Año 2 a 5</t>
  </si>
  <si>
    <t>Consumo excedente MP</t>
  </si>
  <si>
    <t>Kg</t>
  </si>
  <si>
    <t>Consumo TOT MP (Ej 9)</t>
  </si>
  <si>
    <t>Gasto específico MOD Año 1</t>
  </si>
  <si>
    <t xml:space="preserve">Consumo Específico </t>
  </si>
  <si>
    <t>Exceso Gasto MOD</t>
  </si>
  <si>
    <t>Consumo MP por PT (Ej 6)</t>
  </si>
  <si>
    <t>Gasto especifico Materiales</t>
  </si>
  <si>
    <t>Consumo MP en MCySE (Ej 9)</t>
  </si>
  <si>
    <t>Exceso Gasto Materiales</t>
  </si>
  <si>
    <t>Gasto especifico Energía</t>
  </si>
  <si>
    <t>Exceso de MP en Puesta en Marcha</t>
  </si>
  <si>
    <t>Exceso Gasto Energía</t>
  </si>
  <si>
    <t>Tasas e Impuestos</t>
  </si>
  <si>
    <t xml:space="preserve">Tasa municipal anual </t>
  </si>
  <si>
    <t>Impuesto inmobiliario anual</t>
  </si>
  <si>
    <t>Impuesto a los sellos</t>
  </si>
  <si>
    <t>Imp. A los Deb y Cred Bancarios</t>
  </si>
  <si>
    <t>Impuesto automotor</t>
  </si>
  <si>
    <t>Ingresos Brutos Año 1 (3%)</t>
  </si>
  <si>
    <t>Ingresos Brutos Año 2 a 5 (3%)</t>
  </si>
  <si>
    <t>Gastos Varios</t>
  </si>
  <si>
    <t>Anàlisis bacteriologico</t>
  </si>
  <si>
    <t>Dato extraido del labo</t>
  </si>
  <si>
    <t>Gastos de Representación</t>
  </si>
  <si>
    <t>Gastos de oficina</t>
  </si>
  <si>
    <t>INVERSIONES EN ACTIVO DE TRABAJO</t>
  </si>
  <si>
    <t>Rubros</t>
  </si>
  <si>
    <t>Año 2</t>
  </si>
  <si>
    <t>Año 3</t>
  </si>
  <si>
    <t>Año 4</t>
  </si>
  <si>
    <t>Año 5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</si>
  <si>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</si>
  <si>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</si>
  <si>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</si>
  <si>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</si>
  <si>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</si>
  <si>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</si>
  <si>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</si>
  <si>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</si>
  <si>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</si>
  <si>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</si>
  <si>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</si>
  <si>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</si>
  <si>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</si>
  <si>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</si>
  <si>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</si>
  <si>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</si>
  <si>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</si>
  <si>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</si>
  <si>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</si>
  <si>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</si>
  <si>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</si>
  <si>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>IVA plan de Explotación, Cancelación del Credito Fiscal y pago al Fisco por IVA</t>
  </si>
  <si>
    <t>TOTALES PARA LAS TRES AREAS</t>
  </si>
  <si>
    <t xml:space="preserve">               Stock de materiales</t>
  </si>
  <si>
    <t>Rubros que abonan IVA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</si>
  <si>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</si>
  <si>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</si>
  <si>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</si>
  <si>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</si>
  <si>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Combustibles</t>
  </si>
  <si>
    <t>Seguros</t>
  </si>
  <si>
    <t>5. - Mercadería en Proceso</t>
  </si>
  <si>
    <t>Varios</t>
  </si>
  <si>
    <t>Se ha aplicado el 21% sobre los rubros de la mercadería en proceso, con el siguiente resultado: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</si>
  <si>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</si>
  <si>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</si>
  <si>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</si>
  <si>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</si>
  <si>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</si>
  <si>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Energía Eléctrica</t>
  </si>
  <si>
    <t>Total Area Administración</t>
  </si>
  <si>
    <t>Total Area Comercialización</t>
  </si>
  <si>
    <t>Incrementos</t>
  </si>
  <si>
    <t>IVA total abonado por insumos</t>
  </si>
  <si>
    <t>5. - Stock de Elaborados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</si>
  <si>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</si>
  <si>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</si>
  <si>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</si>
  <si>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</si>
  <si>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</si>
  <si>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Recupero de Credito Fiscal</t>
  </si>
  <si>
    <t xml:space="preserve">    Pago al Fisco por IVA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</si>
  <si>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</si>
  <si>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</si>
  <si>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</si>
  <si>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</si>
  <si>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</si>
  <si>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</si>
  <si>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</si>
  <si>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</si>
  <si>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</si>
  <si>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</si>
  <si>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</si>
  <si>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</si>
  <si>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</si>
  <si>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</si>
  <si>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>Formulación del Proyecto a Nivel Económico</t>
  </si>
  <si>
    <t xml:space="preserve">     Stock de Elaborados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</si>
  <si>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</si>
  <si>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</si>
  <si>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</si>
  <si>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</si>
  <si>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</si>
  <si>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</si>
  <si>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</si>
  <si>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Amortizaciones</t>
  </si>
  <si>
    <t>Cobro Credito Fiscal</t>
  </si>
  <si>
    <t>Total Ingresos</t>
  </si>
  <si>
    <t>Saldo Anual</t>
  </si>
  <si>
    <t>Saldo Acumulado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</si>
  <si>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</si>
  <si>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</si>
  <si>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</si>
  <si>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</si>
  <si>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</si>
  <si>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</si>
  <si>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Suma.</t>
  </si>
  <si>
    <t>Beneficio Neto</t>
  </si>
  <si>
    <t>Periodo de Recupero de la Inversión</t>
  </si>
  <si>
    <t>en años</t>
  </si>
  <si>
    <t>2 años y 68 dìas aproximadamente</t>
  </si>
  <si>
    <t>TIR</t>
  </si>
  <si>
    <t>Verificaciones</t>
  </si>
  <si>
    <t>Set A</t>
  </si>
  <si>
    <t>IVA</t>
  </si>
  <si>
    <t>VER</t>
  </si>
  <si>
    <t>AT</t>
  </si>
  <si>
    <t xml:space="preserve">Diferencia en comprobacion BN Proyecto </t>
  </si>
  <si>
    <t>BN Proyecto</t>
  </si>
  <si>
    <t>es la misma que dif entre INV AF y AMORT</t>
  </si>
  <si>
    <t>COSTO TOTAL DE PRODUCCION</t>
  </si>
  <si>
    <t>Gastos en el Area de Producción</t>
  </si>
  <si>
    <t>Materia prima</t>
  </si>
  <si>
    <t>Mano de obra directa</t>
  </si>
  <si>
    <t>Gastos de fabricación:</t>
  </si>
  <si>
    <t>Personal indirecto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</si>
  <si>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</si>
  <si>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</si>
  <si>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</si>
  <si>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</si>
  <si>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</si>
  <si>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</si>
  <si>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</si>
  <si>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</si>
  <si>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>(Materiales)</t>
  </si>
  <si>
    <t xml:space="preserve">  Combustibles</t>
  </si>
  <si>
    <t>(Energia electrica)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</si>
  <si>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</si>
  <si>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</si>
  <si>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</si>
  <si>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</si>
  <si>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</si>
  <si>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</si>
  <si>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</si>
  <si>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</si>
  <si>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</si>
  <si>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</si>
  <si>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</si>
  <si>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</si>
  <si>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</si>
  <si>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Costo total de Admistración</t>
  </si>
  <si>
    <t>Gastos en el Area de Comercialización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</si>
  <si>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</si>
  <si>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</si>
  <si>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</si>
  <si>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</si>
  <si>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</si>
  <si>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</si>
  <si>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</si>
  <si>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</si>
  <si>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</si>
  <si>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</si>
  <si>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</si>
  <si>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Stock elaborado al principio del periodo</t>
  </si>
  <si>
    <t>Stock elaborado al final del periodo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</si>
  <si>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</si>
  <si>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</si>
  <si>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</si>
  <si>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</si>
  <si>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</si>
  <si>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</si>
  <si>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</si>
  <si>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</si>
  <si>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</si>
  <si>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</si>
  <si>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</si>
  <si>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</si>
  <si>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</si>
  <si>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</si>
  <si>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</si>
  <si>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</si>
  <si>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</si>
  <si>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</si>
  <si>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</si>
  <si>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</si>
  <si>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</si>
  <si>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</si>
  <si>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Costo Fijo</t>
  </si>
  <si>
    <t>Costo Variable</t>
  </si>
  <si>
    <t>Costo Total</t>
  </si>
  <si>
    <t>Ventas</t>
  </si>
  <si>
    <t>Punto de equilibrio</t>
  </si>
  <si>
    <t>unidades</t>
  </si>
  <si>
    <t>Compra MP</t>
  </si>
  <si>
    <t>Mensual</t>
  </si>
  <si>
    <t>Gto MP espec</t>
  </si>
  <si>
    <t>Monto compras</t>
  </si>
  <si>
    <t>% financiado</t>
  </si>
  <si>
    <t>Interés x compra</t>
  </si>
  <si>
    <t>cant compras</t>
  </si>
  <si>
    <t>Intereses anuales</t>
  </si>
  <si>
    <t>Crédito anual</t>
  </si>
  <si>
    <t>Banco otorgante del crédito</t>
  </si>
  <si>
    <t>Banco Provincia Bs As</t>
  </si>
  <si>
    <t>Destino</t>
  </si>
  <si>
    <t>Financiamiento Maquinas, Rodados y Edificio</t>
  </si>
  <si>
    <t>Préstamo</t>
  </si>
  <si>
    <t>Provincia Verde - Inversión</t>
  </si>
  <si>
    <t>Tipo de tasa</t>
  </si>
  <si>
    <t>Fija</t>
  </si>
  <si>
    <t>TNAV</t>
  </si>
  <si>
    <t>semestral</t>
  </si>
  <si>
    <t>Plazo</t>
  </si>
  <si>
    <t>meses</t>
  </si>
  <si>
    <t>Comision inicial</t>
  </si>
  <si>
    <t>Tope</t>
  </si>
  <si>
    <t>de inversión</t>
  </si>
  <si>
    <t>del importe total del Proyecto</t>
  </si>
  <si>
    <t>Sistema de Amortización</t>
  </si>
  <si>
    <t>Alemán</t>
  </si>
  <si>
    <t>Frecuencia de pago</t>
  </si>
  <si>
    <t>Medio de pago</t>
  </si>
  <si>
    <t>Debito en C/C</t>
  </si>
  <si>
    <t>Links</t>
  </si>
  <si>
    <t>https://www.bancoprovincia.com.ar/web/empresas_cap_trabajo_fija</t>
  </si>
  <si>
    <t>https://www.bancoprovincia.com.ar/CDN/Get/A5388_Banca_Empresa_tasas_costos_condiciones_vigentes</t>
  </si>
  <si>
    <t>PRIMERA ESTRUCTURA FINANCIERA</t>
  </si>
  <si>
    <t>CUADRO EVOLUCIÓN DEL PRÉSTAMO</t>
  </si>
  <si>
    <t>Total Inversión</t>
  </si>
  <si>
    <t>día/mes/año</t>
  </si>
  <si>
    <t>deuda</t>
  </si>
  <si>
    <t>CréditoS</t>
  </si>
  <si>
    <t>amortización</t>
  </si>
  <si>
    <t>interés</t>
  </si>
  <si>
    <t>interes</t>
  </si>
  <si>
    <t>gasto</t>
  </si>
  <si>
    <t>Capital Propio</t>
  </si>
  <si>
    <t>monto</t>
  </si>
  <si>
    <t>bancario</t>
  </si>
  <si>
    <t>CUOTA</t>
  </si>
  <si>
    <t xml:space="preserve">Activo Fijo </t>
  </si>
  <si>
    <t>30/12/-0</t>
  </si>
  <si>
    <t>-</t>
  </si>
  <si>
    <t>30/06/-1</t>
  </si>
  <si>
    <t xml:space="preserve">Activo de Trabajo </t>
  </si>
  <si>
    <t>31/12/-1</t>
  </si>
  <si>
    <t xml:space="preserve">IVA </t>
  </si>
  <si>
    <t>gastos preoperativos:</t>
  </si>
  <si>
    <t>CUADRO RESUMEN DE CREDITOS</t>
  </si>
  <si>
    <t xml:space="preserve">deuda </t>
  </si>
  <si>
    <t>prom. anual</t>
  </si>
  <si>
    <t>kd</t>
  </si>
  <si>
    <t>01/04/-1</t>
  </si>
  <si>
    <t>Totales:</t>
  </si>
  <si>
    <t>CUADRO DEL CRÉDITO RENOVABLE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</si>
  <si>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</si>
  <si>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</si>
  <si>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</si>
  <si>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</si>
  <si>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</si>
  <si>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</si>
  <si>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</si>
  <si>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Los primeros 3 años se absorben los gastos preoperativos en 3 alicuotas iguales.</t>
  </si>
  <si>
    <t>RESULTADO (a/Hon. e Imp.)</t>
  </si>
  <si>
    <t>Menos: Honorarios al Direct.</t>
  </si>
  <si>
    <t>Los honorarios al directorio y los impuestos a las ganancias se calculan con el nuevo resultado. No con el viejo de la tabla E-Costos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</si>
  <si>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</si>
  <si>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</si>
  <si>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</si>
  <si>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</si>
  <si>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</si>
  <si>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</si>
  <si>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</si>
  <si>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</si>
  <si>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</si>
  <si>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</si>
  <si>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</si>
  <si>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</si>
  <si>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</si>
  <si>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</si>
  <si>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</si>
  <si>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</si>
  <si>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</si>
  <si>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</si>
  <si>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</si>
  <si>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</si>
  <si>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</si>
  <si>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</si>
  <si>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</si>
  <si>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</si>
  <si>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</si>
  <si>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</si>
  <si>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</si>
  <si>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</si>
  <si>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No comprendo porque el credito renovable no se carga en el año 1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</si>
  <si>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</si>
  <si>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</si>
  <si>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</si>
  <si>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</si>
  <si>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</si>
  <si>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</si>
  <si>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</si>
  <si>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</si>
  <si>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</si>
  <si>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</si>
  <si>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</si>
  <si>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</si>
  <si>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</si>
  <si>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</si>
  <si>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</si>
  <si>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</si>
  <si>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</si>
  <si>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</si>
  <si>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</si>
  <si>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</si>
  <si>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</si>
  <si>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</si>
  <si>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</si>
  <si>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</si>
  <si>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</si>
  <si>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</si>
  <si>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</si>
  <si>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</si>
  <si>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>BALANCES PROFORMAS</t>
  </si>
  <si>
    <t>ACTIVO CORRIENTE: Total</t>
  </si>
  <si>
    <t xml:space="preserve">Honorarios del Directorio </t>
  </si>
  <si>
    <t xml:space="preserve">Caja y Bancos: </t>
  </si>
  <si>
    <t xml:space="preserve">   - mínimo </t>
  </si>
  <si>
    <t>Dividendos en efectivo</t>
  </si>
  <si>
    <t xml:space="preserve">   - saldo acumulado de Fuentes y Usos </t>
  </si>
  <si>
    <t xml:space="preserve">IVA inversión </t>
  </si>
  <si>
    <t>Crédito por ventas</t>
  </si>
  <si>
    <t>Formulación del Proyecto a Nivel Financiero</t>
  </si>
  <si>
    <t>Activo de Trabajo</t>
  </si>
  <si>
    <t>Utilidad  Antes  HD e IG</t>
  </si>
  <si>
    <t>Intereses Pagados</t>
  </si>
  <si>
    <t>Otros egresos</t>
  </si>
  <si>
    <t>Bienes de cambio</t>
  </si>
  <si>
    <t>FUENTES - USOS</t>
  </si>
  <si>
    <t>Crédito Fiscal</t>
  </si>
  <si>
    <t xml:space="preserve">Más: Amortizaciones del ejercicio </t>
  </si>
  <si>
    <t>ACTIVO NO CORRIENTE: Total</t>
  </si>
  <si>
    <t>Saldo al ejercicio siguiente (acumulado)</t>
  </si>
  <si>
    <t>Cargos Diferidos:</t>
  </si>
  <si>
    <t xml:space="preserve">   - valor inicial </t>
  </si>
  <si>
    <t>Saldo Propio del Ejercicio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</si>
  <si>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</si>
  <si>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</si>
  <si>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</si>
  <si>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</si>
  <si>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</si>
  <si>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</si>
  <si>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</si>
  <si>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TIR modificada</t>
  </si>
  <si>
    <t>PASIVO CORRIENTE: Total</t>
  </si>
  <si>
    <t>Deudas comerciales</t>
  </si>
  <si>
    <t>Formulación para el Inversor</t>
  </si>
  <si>
    <t>Aporte de Capital</t>
  </si>
  <si>
    <t>Saldo propio de Fuentes y Usos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</si>
  <si>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</si>
  <si>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</si>
  <si>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</si>
  <si>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</si>
  <si>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</si>
  <si>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</si>
  <si>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Set B</t>
  </si>
  <si>
    <t>BN Inversor 1</t>
  </si>
  <si>
    <t>Utilidad acumulada</t>
  </si>
  <si>
    <t>PASIVO + PATRIMONIO NETO</t>
  </si>
  <si>
    <t>BN Inversor 2</t>
  </si>
  <si>
    <t>Verificación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</si>
  <si>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</si>
  <si>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</si>
  <si>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</si>
  <si>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</si>
  <si>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</si>
  <si>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</si>
  <si>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</si>
  <si>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</si>
  <si>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Faltan gráficos!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</si>
</sst>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-* #,##0.00_-;\-* #,##0.00_-;_-* &quot;-&quot;??_-;_-@_-"/>
    <numFmt numFmtId="167" formatCode="_(* #,##0_);_(* \(#,##0\);_(* \-??_);_(@_)"/>
    <numFmt numFmtId="168" formatCode="0.0\ %"/>
    <numFmt numFmtId="169" formatCode="_ &quot;$&quot;\ * #,##0_ ;_ &quot;$&quot;\ * \-#,##0_ ;_ &quot;$&quot;\ * &quot;-&quot;??_ ;_ @_ "/>
    <numFmt numFmtId="170" formatCode="_(\$* #,##0.00_);_(\$* \(#,##0.00\);_(\$* \-??_);_(@_)"/>
    <numFmt numFmtId="171" formatCode="_(\$* #,##0_);_(\$* \(#,##0\);_(\$* \-??_);_(@_)"/>
    <numFmt numFmtId="172" formatCode="_ &quot;$&quot;\ * #,##0.0_ ;_ &quot;$&quot;\ * \-#,##0.0_ ;_ &quot;$&quot;\ * &quot;-&quot;??_ ;_ @_ "/>
    <numFmt numFmtId="173" formatCode="0.0"/>
    <numFmt numFmtId="174" formatCode="_(* #,##0.000000_);_(* \(#,##0.000000\);_(* \-??.000000_);_(@_)"/>
    <numFmt numFmtId="175" formatCode="_ [$$-2C0A]\ * #,##0_ ;_ [$$-2C0A]\ * \-#,##0_ ;_ [$$-2C0A]\ * &quot;-&quot;??_ ;_ @_ "/>
    <numFmt numFmtId="176" formatCode="_(* #,##0.000000000_);_(* \(#,##0.000000000\);_(* \-??.000000000_);_(@_)"/>
    <numFmt numFmtId="177" formatCode="_ [$$-2C0A]\ * #,##0.00_ ;_ [$$-2C0A]\ * \-#,##0.00_ ;_ [$$-2C0A]\ * &quot;-&quot;??_ ;_ @_ "/>
    <numFmt numFmtId="178" formatCode="_(* #,##0.0000000_);_(* \(#,##0.0000000\);_(* \-??.0000000_);_(@_)"/>
    <numFmt numFmtId="179" formatCode="&quot;$&quot;\ #,##0.00"/>
    <numFmt numFmtId="180" formatCode="0.0%"/>
    <numFmt numFmtId="181" formatCode="&quot;$&quot;\ #,##0"/>
    <numFmt numFmtId="182" formatCode="0.000"/>
    <numFmt numFmtId="183" formatCode="_-* #,##0\ _€_-;\-* #,##0\ _€_-;_-* &quot;-&quot;??\ _€_-;_-@"/>
    <numFmt numFmtId="184" formatCode="_(* #,##0.00_);_(* \(#,##0.00\);_(* \-??_);_(@_)"/>
    <numFmt numFmtId="185" formatCode="_ * #,##0_ ;_ * \-#,##0_ ;_ * &quot;-&quot;??_ ;_ @_ "/>
    <numFmt numFmtId="186" formatCode="0.000%"/>
    <numFmt numFmtId="187" formatCode="_ [$$-2C0A]\ * #,##0.00_ ;_ [$$-2C0A]\ * \-#,##0.00_ ;_ [$$-2C0A]\ * &quot;-&quot;??.00_ ;_ @_ "/>
    <numFmt numFmtId="188" formatCode="0.00000%"/>
    <numFmt numFmtId="189" formatCode="0.0000"/>
    <numFmt numFmtId="190" formatCode="_(\$* #,##0.000_);_(\$* \(#,##0.000\);_(\$* \-??_);_(@_)"/>
    <numFmt numFmtId="191" formatCode="&quot;$&quot;#,##0.00"/>
    <numFmt numFmtId="192" formatCode="dd\-mm\-yy"/>
    <numFmt numFmtId="193" formatCode="d\-m\-yy"/>
    <numFmt numFmtId="194" formatCode="d&quot; de &quot;mmm&quot; de &quot;yy"/>
    <numFmt numFmtId="195" formatCode="&quot;$&quot;#,##0.00;\(0\);\-"/>
    <numFmt numFmtId="196" formatCode="&quot;$&quot;#,##0.000000;\(0.0000\);\-"/>
    <numFmt numFmtId="197" formatCode="&quot;$&quot;\ #,##0.00000000000000000000000000000000"/>
    <numFmt numFmtId="198" formatCode="&quot;$&quot;#,##0.00000000000000"/>
  </numFmts>
  <fonts count="67">
    <font>
      <sz val="10"/>
      <color rgb="FF000000"/>
      <name val="Arial"/>
    </font>
    <font>
      <sz val="10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FFFF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rgb="FFFFFFFF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Inconsolata"/>
    </font>
    <font>
      <u/>
      <sz val="10"/>
      <color rgb="FF0000FF"/>
      <name val="Calibri"/>
      <family val="2"/>
    </font>
    <font>
      <u/>
      <sz val="11"/>
      <color rgb="FF000000"/>
      <name val="Inconsolata"/>
    </font>
    <font>
      <u/>
      <sz val="10"/>
      <color rgb="FF0563C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Inconsolata"/>
    </font>
    <font>
      <b/>
      <u/>
      <sz val="10"/>
      <color rgb="FF000000"/>
      <name val="Calibri"/>
      <family val="2"/>
    </font>
    <font>
      <b/>
      <u/>
      <sz val="10"/>
      <name val="Calibri"/>
      <family val="2"/>
    </font>
    <font>
      <b/>
      <u/>
      <sz val="10"/>
      <name val="Calibri"/>
      <family val="2"/>
    </font>
    <font>
      <u/>
      <sz val="10"/>
      <color rgb="FF0000FF"/>
      <name val="Arial"/>
      <family val="2"/>
    </font>
    <font>
      <i/>
      <sz val="9"/>
      <name val="Calibri"/>
      <family val="2"/>
    </font>
    <font>
      <u/>
      <sz val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name val="Calibri"/>
      <family val="2"/>
    </font>
    <font>
      <b/>
      <i/>
      <sz val="1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</font>
    <font>
      <sz val="11"/>
      <color rgb="FF000000"/>
      <name val="Sans-serif"/>
    </font>
    <font>
      <i/>
      <sz val="10"/>
      <color rgb="FF000000"/>
      <name val="Calibri"/>
      <family val="2"/>
    </font>
    <font>
      <b/>
      <sz val="11"/>
      <color rgb="FF000000"/>
      <name val="Sans-serif"/>
    </font>
    <font>
      <b/>
      <sz val="11"/>
      <color rgb="FF000000"/>
      <name val="Arial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u/>
      <sz val="1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Inconsolata"/>
    </font>
    <font>
      <sz val="11"/>
      <name val="Inconsolata"/>
    </font>
    <font>
      <sz val="11"/>
      <color rgb="FF7E3794"/>
      <name val="Inconsolata"/>
    </font>
    <font>
      <sz val="11"/>
      <color rgb="FF11A9CC"/>
      <name val="Inconsolata"/>
    </font>
    <font>
      <sz val="10"/>
      <color rgb="FFFF000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rgb="FF0563C1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Arial"/>
      <family val="2"/>
    </font>
    <font>
      <sz val="11"/>
      <color rgb="FFF7981D"/>
      <name val="Inconsolata"/>
    </font>
    <font>
      <sz val="12"/>
      <name val="Noto Sans Symbols"/>
    </font>
    <font>
      <b/>
      <vertAlign val="superscript"/>
      <sz val="10"/>
      <name val="Calibri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62A73B"/>
        <bgColor rgb="FF62A73B"/>
      </patternFill>
    </fill>
    <fill>
      <patternFill patternType="solid">
        <fgColor rgb="FFF9F9F9"/>
        <bgColor rgb="FFF9F9F9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90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/>
      <top style="hair">
        <color rgb="FF3C3C3C"/>
      </top>
      <bottom style="hair">
        <color rgb="FF3C3C3C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/>
      <right style="double">
        <color rgb="FF3C3C3C"/>
      </right>
      <top style="double">
        <color rgb="FF3C3C3C"/>
      </top>
      <bottom/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/>
      <diagonal/>
    </border>
    <border>
      <left style="thin">
        <color rgb="FF3C3C3C"/>
      </left>
      <right/>
      <top style="hair">
        <color rgb="FF3C3C3C"/>
      </top>
      <bottom/>
      <diagonal/>
    </border>
    <border>
      <left/>
      <right/>
      <top/>
      <bottom style="hair">
        <color rgb="FF3C3C3C"/>
      </bottom>
      <diagonal/>
    </border>
    <border>
      <left style="thin">
        <color rgb="FF000000"/>
      </left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3C3C3C"/>
      </right>
      <top/>
      <bottom/>
      <diagonal/>
    </border>
    <border>
      <left/>
      <right/>
      <top/>
      <bottom/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/>
      <top style="thin">
        <color rgb="FF000000"/>
      </top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 style="double">
        <color rgb="FF3C3C3C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3C3C3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double">
        <color rgb="FF3C3C3C"/>
      </left>
      <right style="thin">
        <color rgb="FF000000"/>
      </right>
      <top/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/>
      <right style="thin">
        <color rgb="FF000000"/>
      </right>
      <top/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/>
      <right style="thin">
        <color rgb="FF000000"/>
      </right>
      <top style="double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thin">
        <color rgb="FF3C3C3C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3C3C3C"/>
      </left>
      <right style="thin">
        <color rgb="FF3C3C3C"/>
      </right>
      <top style="thick">
        <color rgb="FF000000"/>
      </top>
      <bottom style="thick">
        <color rgb="FF000000"/>
      </bottom>
      <diagonal/>
    </border>
    <border>
      <left style="thin">
        <color rgb="FF3C3C3C"/>
      </left>
      <right/>
      <top style="thick">
        <color rgb="FF000000"/>
      </top>
      <bottom style="thick">
        <color rgb="FF000000"/>
      </bottom>
      <diagonal/>
    </border>
    <border>
      <left style="double">
        <color rgb="FF3C3C3C"/>
      </left>
      <right style="thin">
        <color rgb="FF000000"/>
      </right>
      <top style="double">
        <color rgb="FF3C3C3C"/>
      </top>
      <bottom style="double">
        <color rgb="FF3C3C3C"/>
      </bottom>
      <diagonal/>
    </border>
    <border>
      <left style="thin">
        <color rgb="FF000000"/>
      </left>
      <right style="thin">
        <color rgb="FF000000"/>
      </right>
      <top style="double">
        <color rgb="FF3C3C3C"/>
      </top>
      <bottom style="double">
        <color rgb="FF3C3C3C"/>
      </bottom>
      <diagonal/>
    </border>
    <border>
      <left/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/>
      <right style="double">
        <color rgb="FF3C3C3C"/>
      </right>
      <top/>
      <bottom/>
      <diagonal/>
    </border>
    <border>
      <left style="double">
        <color rgb="FF3C3C3C"/>
      </left>
      <right style="thin">
        <color rgb="FF3C3C3C"/>
      </right>
      <top/>
      <bottom style="thin">
        <color rgb="FF000000"/>
      </bottom>
      <diagonal/>
    </border>
    <border>
      <left/>
      <right style="thin">
        <color rgb="FF3C3C3C"/>
      </right>
      <top/>
      <bottom style="thin">
        <color rgb="FF000000"/>
      </bottom>
      <diagonal/>
    </border>
    <border>
      <left/>
      <right style="double">
        <color rgb="FF3C3C3C"/>
      </right>
      <top/>
      <bottom style="thin">
        <color rgb="FF000000"/>
      </bottom>
      <diagonal/>
    </border>
    <border>
      <left style="double">
        <color rgb="FF3C3C3C"/>
      </left>
      <right style="thin">
        <color rgb="FF000000"/>
      </right>
      <top/>
      <bottom/>
      <diagonal/>
    </border>
    <border>
      <left/>
      <right style="double">
        <color rgb="FF3C3C3C"/>
      </right>
      <top style="thin">
        <color rgb="FF000000"/>
      </top>
      <bottom/>
      <diagonal/>
    </border>
    <border>
      <left/>
      <right style="double">
        <color rgb="FF3C3C3C"/>
      </right>
      <top style="double">
        <color rgb="FF3C3C3C"/>
      </top>
      <bottom style="double">
        <color rgb="FF3C3C3C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 style="thin">
        <color rgb="FF3C3C3C"/>
      </left>
      <right style="thin">
        <color rgb="FF000000"/>
      </right>
      <top style="hair">
        <color rgb="FF3C3C3C"/>
      </top>
      <bottom style="hair">
        <color rgb="FF3C3C3C"/>
      </bottom>
      <diagonal/>
    </border>
    <border>
      <left/>
      <right style="thin">
        <color rgb="FF000000"/>
      </right>
      <top style="hair">
        <color rgb="FF3C3C3C"/>
      </top>
      <bottom style="hair">
        <color rgb="FF3C3C3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165" fontId="66" fillId="0" borderId="0" applyFont="0" applyFill="0" applyBorder="0" applyAlignment="0" applyProtection="0"/>
    <xf numFmtId="164" fontId="66" fillId="0" borderId="0" applyFont="0" applyFill="0" applyBorder="0" applyAlignment="0" applyProtection="0"/>
  </cellStyleXfs>
  <cellXfs count="95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8" xfId="0" applyFont="1" applyBorder="1" applyAlignment="1"/>
    <xf numFmtId="9" fontId="3" fillId="3" borderId="1" xfId="0" applyNumberFormat="1" applyFont="1" applyFill="1" applyBorder="1" applyAlignment="1"/>
    <xf numFmtId="167" fontId="1" fillId="0" borderId="9" xfId="0" applyNumberFormat="1" applyFont="1" applyBorder="1" applyAlignment="1"/>
    <xf numFmtId="167" fontId="1" fillId="0" borderId="15" xfId="0" applyNumberFormat="1" applyFont="1" applyBorder="1" applyAlignment="1"/>
    <xf numFmtId="0" fontId="11" fillId="0" borderId="0" xfId="0" applyFont="1" applyAlignment="1">
      <alignment vertical="center"/>
    </xf>
    <xf numFmtId="168" fontId="3" fillId="3" borderId="1" xfId="0" applyNumberFormat="1" applyFont="1" applyFill="1" applyBorder="1" applyAlignment="1"/>
    <xf numFmtId="167" fontId="1" fillId="0" borderId="0" xfId="0" applyNumberFormat="1" applyFont="1" applyAlignment="1"/>
    <xf numFmtId="0" fontId="1" fillId="0" borderId="17" xfId="0" applyFont="1" applyBorder="1" applyAlignment="1"/>
    <xf numFmtId="167" fontId="1" fillId="0" borderId="18" xfId="0" applyNumberFormat="1" applyFont="1" applyBorder="1" applyAlignment="1"/>
    <xf numFmtId="167" fontId="1" fillId="0" borderId="19" xfId="0" applyNumberFormat="1" applyFont="1" applyBorder="1" applyAlignment="1"/>
    <xf numFmtId="0" fontId="1" fillId="0" borderId="21" xfId="0" applyFont="1" applyBorder="1" applyAlignment="1"/>
    <xf numFmtId="4" fontId="12" fillId="0" borderId="23" xfId="0" applyNumberFormat="1" applyFont="1" applyBorder="1" applyAlignment="1"/>
    <xf numFmtId="167" fontId="1" fillId="0" borderId="24" xfId="0" applyNumberFormat="1" applyFont="1" applyBorder="1" applyAlignment="1"/>
    <xf numFmtId="0" fontId="5" fillId="0" borderId="25" xfId="0" applyFont="1" applyBorder="1" applyAlignment="1"/>
    <xf numFmtId="169" fontId="1" fillId="0" borderId="26" xfId="0" applyNumberFormat="1" applyFont="1" applyBorder="1" applyAlignment="1"/>
    <xf numFmtId="0" fontId="12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9" fontId="1" fillId="0" borderId="27" xfId="0" applyNumberFormat="1" applyFont="1" applyBorder="1" applyAlignment="1"/>
    <xf numFmtId="10" fontId="3" fillId="3" borderId="1" xfId="0" applyNumberFormat="1" applyFont="1" applyFill="1" applyBorder="1" applyAlignment="1">
      <alignment horizontal="center"/>
    </xf>
    <xf numFmtId="0" fontId="12" fillId="4" borderId="28" xfId="0" applyFont="1" applyFill="1" applyBorder="1" applyAlignment="1"/>
    <xf numFmtId="0" fontId="12" fillId="4" borderId="29" xfId="0" applyFont="1" applyFill="1" applyBorder="1" applyAlignment="1"/>
    <xf numFmtId="0" fontId="12" fillId="4" borderId="30" xfId="0" applyFont="1" applyFill="1" applyBorder="1" applyAlignment="1"/>
    <xf numFmtId="0" fontId="12" fillId="4" borderId="1" xfId="0" applyFont="1" applyFill="1" applyBorder="1" applyAlignment="1"/>
    <xf numFmtId="0" fontId="12" fillId="4" borderId="1" xfId="0" applyFont="1" applyFill="1" applyBorder="1" applyAlignment="1"/>
    <xf numFmtId="0" fontId="3" fillId="0" borderId="0" xfId="0" applyFont="1" applyAlignment="1"/>
    <xf numFmtId="10" fontId="12" fillId="4" borderId="31" xfId="0" applyNumberFormat="1" applyFont="1" applyFill="1" applyBorder="1" applyAlignment="1"/>
    <xf numFmtId="0" fontId="10" fillId="0" borderId="0" xfId="0" applyFont="1" applyAlignment="1"/>
    <xf numFmtId="10" fontId="12" fillId="4" borderId="35" xfId="0" applyNumberFormat="1" applyFont="1" applyFill="1" applyBorder="1" applyAlignment="1"/>
    <xf numFmtId="10" fontId="12" fillId="4" borderId="1" xfId="0" applyNumberFormat="1" applyFont="1" applyFill="1" applyBorder="1" applyAlignment="1"/>
    <xf numFmtId="0" fontId="12" fillId="0" borderId="0" xfId="0" applyFont="1" applyAlignment="1"/>
    <xf numFmtId="0" fontId="14" fillId="0" borderId="36" xfId="0" applyFont="1" applyBorder="1" applyAlignment="1"/>
    <xf numFmtId="0" fontId="3" fillId="0" borderId="37" xfId="0" applyFont="1" applyBorder="1" applyAlignment="1">
      <alignment horizontal="center"/>
    </xf>
    <xf numFmtId="0" fontId="14" fillId="0" borderId="40" xfId="0" applyFont="1" applyBorder="1" applyAlignment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2" fillId="0" borderId="43" xfId="0" applyFont="1" applyBorder="1" applyAlignment="1"/>
    <xf numFmtId="0" fontId="12" fillId="0" borderId="44" xfId="0" applyFont="1" applyBorder="1" applyAlignment="1"/>
    <xf numFmtId="0" fontId="3" fillId="0" borderId="45" xfId="0" applyFont="1" applyBorder="1" applyAlignment="1"/>
    <xf numFmtId="0" fontId="12" fillId="0" borderId="46" xfId="0" applyFont="1" applyBorder="1" applyAlignment="1"/>
    <xf numFmtId="0" fontId="12" fillId="0" borderId="45" xfId="0" applyFont="1" applyBorder="1" applyAlignment="1"/>
    <xf numFmtId="170" fontId="12" fillId="0" borderId="46" xfId="0" applyNumberFormat="1" applyFont="1" applyBorder="1" applyAlignment="1"/>
    <xf numFmtId="0" fontId="12" fillId="0" borderId="45" xfId="0" applyFont="1" applyBorder="1" applyAlignment="1">
      <alignment horizontal="left"/>
    </xf>
    <xf numFmtId="0" fontId="15" fillId="0" borderId="0" xfId="0" applyFont="1" applyAlignment="1">
      <alignment vertical="center"/>
    </xf>
    <xf numFmtId="170" fontId="12" fillId="0" borderId="46" xfId="0" applyNumberFormat="1" applyFont="1" applyBorder="1" applyAlignment="1"/>
    <xf numFmtId="0" fontId="5" fillId="0" borderId="47" xfId="0" applyFont="1" applyBorder="1" applyAlignment="1"/>
    <xf numFmtId="169" fontId="1" fillId="0" borderId="48" xfId="0" applyNumberFormat="1" applyFont="1" applyBorder="1" applyAlignment="1"/>
    <xf numFmtId="0" fontId="1" fillId="0" borderId="48" xfId="0" applyFont="1" applyBorder="1" applyAlignment="1">
      <alignment horizontal="center"/>
    </xf>
    <xf numFmtId="0" fontId="12" fillId="0" borderId="49" xfId="0" applyFont="1" applyBorder="1" applyAlignment="1"/>
    <xf numFmtId="170" fontId="12" fillId="0" borderId="50" xfId="0" applyNumberFormat="1" applyFont="1" applyBorder="1" applyAlignment="1"/>
    <xf numFmtId="0" fontId="3" fillId="0" borderId="23" xfId="0" applyFont="1" applyBorder="1" applyAlignment="1"/>
    <xf numFmtId="0" fontId="1" fillId="0" borderId="48" xfId="0" applyFont="1" applyBorder="1" applyAlignment="1">
      <alignment horizontal="center"/>
    </xf>
    <xf numFmtId="170" fontId="3" fillId="0" borderId="23" xfId="0" applyNumberFormat="1" applyFont="1" applyBorder="1" applyAlignment="1"/>
    <xf numFmtId="170" fontId="12" fillId="0" borderId="44" xfId="0" applyNumberFormat="1" applyFont="1" applyBorder="1" applyAlignment="1"/>
    <xf numFmtId="169" fontId="1" fillId="0" borderId="48" xfId="0" applyNumberFormat="1" applyFont="1" applyBorder="1" applyAlignment="1"/>
    <xf numFmtId="0" fontId="16" fillId="5" borderId="0" xfId="0" applyFont="1" applyFill="1" applyAlignment="1"/>
    <xf numFmtId="0" fontId="17" fillId="0" borderId="0" xfId="0" applyFont="1" applyAlignment="1"/>
    <xf numFmtId="169" fontId="12" fillId="0" borderId="23" xfId="0" applyNumberFormat="1" applyFont="1" applyBorder="1" applyAlignment="1"/>
    <xf numFmtId="0" fontId="18" fillId="5" borderId="0" xfId="0" applyFont="1" applyFill="1" applyAlignment="1"/>
    <xf numFmtId="0" fontId="1" fillId="0" borderId="0" xfId="0" applyFont="1" applyAlignment="1">
      <alignment horizontal="center"/>
    </xf>
    <xf numFmtId="0" fontId="5" fillId="0" borderId="25" xfId="0" applyFont="1" applyBorder="1" applyAlignment="1"/>
    <xf numFmtId="169" fontId="1" fillId="0" borderId="26" xfId="0" applyNumberFormat="1" applyFont="1" applyBorder="1" applyAlignment="1"/>
    <xf numFmtId="0" fontId="19" fillId="0" borderId="0" xfId="0" applyFont="1"/>
    <xf numFmtId="0" fontId="7" fillId="6" borderId="0" xfId="0" applyFont="1" applyFill="1" applyAlignment="1"/>
    <xf numFmtId="170" fontId="9" fillId="0" borderId="0" xfId="0" applyNumberFormat="1" applyFont="1" applyAlignment="1"/>
    <xf numFmtId="0" fontId="7" fillId="0" borderId="17" xfId="0" applyFont="1" applyBorder="1" applyAlignment="1"/>
    <xf numFmtId="170" fontId="9" fillId="0" borderId="19" xfId="0" applyNumberFormat="1" applyFont="1" applyBorder="1" applyAlignment="1"/>
    <xf numFmtId="0" fontId="1" fillId="0" borderId="0" xfId="0" applyFont="1" applyAlignment="1"/>
    <xf numFmtId="0" fontId="7" fillId="0" borderId="21" xfId="0" applyFont="1" applyBorder="1" applyAlignment="1"/>
    <xf numFmtId="170" fontId="9" fillId="0" borderId="51" xfId="0" applyNumberFormat="1" applyFont="1" applyBorder="1" applyAlignment="1"/>
    <xf numFmtId="170" fontId="3" fillId="0" borderId="46" xfId="0" applyNumberFormat="1" applyFont="1" applyBorder="1" applyAlignment="1"/>
    <xf numFmtId="0" fontId="9" fillId="0" borderId="5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/>
    </xf>
    <xf numFmtId="169" fontId="1" fillId="0" borderId="53" xfId="0" applyNumberFormat="1" applyFont="1" applyBorder="1" applyAlignment="1"/>
    <xf numFmtId="0" fontId="3" fillId="0" borderId="40" xfId="0" applyFont="1" applyBorder="1" applyAlignment="1">
      <alignment horizontal="left"/>
    </xf>
    <xf numFmtId="169" fontId="1" fillId="0" borderId="47" xfId="0" applyNumberFormat="1" applyFont="1" applyBorder="1" applyAlignment="1"/>
    <xf numFmtId="170" fontId="3" fillId="0" borderId="41" xfId="0" applyNumberFormat="1" applyFont="1" applyBorder="1" applyAlignment="1"/>
    <xf numFmtId="170" fontId="12" fillId="0" borderId="41" xfId="0" applyNumberFormat="1" applyFont="1" applyBorder="1" applyAlignment="1"/>
    <xf numFmtId="0" fontId="1" fillId="0" borderId="47" xfId="0" applyFont="1" applyBorder="1" applyAlignment="1">
      <alignment horizontal="left" vertical="center"/>
    </xf>
    <xf numFmtId="169" fontId="1" fillId="0" borderId="54" xfId="0" applyNumberFormat="1" applyFont="1" applyBorder="1" applyAlignment="1"/>
    <xf numFmtId="0" fontId="3" fillId="0" borderId="36" xfId="0" applyFont="1" applyBorder="1" applyAlignment="1">
      <alignment horizontal="center"/>
    </xf>
    <xf numFmtId="169" fontId="1" fillId="0" borderId="47" xfId="0" applyNumberFormat="1" applyFont="1" applyBorder="1" applyAlignment="1"/>
    <xf numFmtId="0" fontId="3" fillId="0" borderId="55" xfId="0" applyFont="1" applyBorder="1" applyAlignment="1">
      <alignment horizontal="center"/>
    </xf>
    <xf numFmtId="169" fontId="1" fillId="0" borderId="56" xfId="0" applyNumberFormat="1" applyFont="1" applyBorder="1" applyAlignment="1"/>
    <xf numFmtId="0" fontId="3" fillId="0" borderId="57" xfId="0" applyFont="1" applyBorder="1" applyAlignment="1"/>
    <xf numFmtId="0" fontId="3" fillId="0" borderId="40" xfId="0" applyFont="1" applyBorder="1" applyAlignment="1"/>
    <xf numFmtId="0" fontId="3" fillId="0" borderId="42" xfId="0" applyFont="1" applyBorder="1" applyAlignment="1"/>
    <xf numFmtId="0" fontId="3" fillId="0" borderId="36" xfId="0" applyFont="1" applyBorder="1" applyAlignment="1"/>
    <xf numFmtId="170" fontId="12" fillId="5" borderId="55" xfId="0" applyNumberFormat="1" applyFont="1" applyFill="1" applyBorder="1" applyAlignment="1"/>
    <xf numFmtId="170" fontId="12" fillId="0" borderId="55" xfId="0" applyNumberFormat="1" applyFont="1" applyBorder="1" applyAlignment="1"/>
    <xf numFmtId="0" fontId="12" fillId="0" borderId="57" xfId="0" applyFont="1" applyBorder="1" applyAlignment="1"/>
    <xf numFmtId="169" fontId="1" fillId="0" borderId="56" xfId="0" applyNumberFormat="1" applyFont="1" applyBorder="1" applyAlignment="1"/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3" fillId="0" borderId="43" xfId="0" applyFont="1" applyBorder="1" applyAlignment="1"/>
    <xf numFmtId="170" fontId="12" fillId="5" borderId="44" xfId="0" applyNumberFormat="1" applyFont="1" applyFill="1" applyBorder="1" applyAlignment="1"/>
    <xf numFmtId="0" fontId="12" fillId="0" borderId="61" xfId="0" applyFont="1" applyBorder="1" applyAlignment="1"/>
    <xf numFmtId="171" fontId="12" fillId="5" borderId="50" xfId="0" applyNumberFormat="1" applyFont="1" applyFill="1" applyBorder="1" applyAlignment="1"/>
    <xf numFmtId="171" fontId="12" fillId="0" borderId="46" xfId="0" applyNumberFormat="1" applyFont="1" applyBorder="1" applyAlignment="1"/>
    <xf numFmtId="171" fontId="12" fillId="0" borderId="46" xfId="0" applyNumberFormat="1" applyFont="1" applyBorder="1" applyAlignment="1"/>
    <xf numFmtId="9" fontId="21" fillId="0" borderId="59" xfId="0" applyNumberFormat="1" applyFont="1" applyBorder="1" applyAlignment="1">
      <alignment horizontal="center"/>
    </xf>
    <xf numFmtId="9" fontId="21" fillId="0" borderId="60" xfId="0" applyNumberFormat="1" applyFont="1" applyBorder="1" applyAlignment="1">
      <alignment horizontal="center"/>
    </xf>
    <xf numFmtId="0" fontId="12" fillId="0" borderId="62" xfId="0" applyFont="1" applyBorder="1" applyAlignment="1"/>
    <xf numFmtId="171" fontId="1" fillId="5" borderId="63" xfId="0" applyNumberFormat="1" applyFont="1" applyFill="1" applyBorder="1" applyAlignment="1"/>
    <xf numFmtId="4" fontId="12" fillId="0" borderId="64" xfId="0" applyNumberFormat="1" applyFont="1" applyBorder="1" applyAlignment="1"/>
    <xf numFmtId="171" fontId="12" fillId="0" borderId="65" xfId="0" applyNumberFormat="1" applyFont="1" applyBorder="1" applyAlignment="1"/>
    <xf numFmtId="171" fontId="12" fillId="5" borderId="44" xfId="0" applyNumberFormat="1" applyFont="1" applyFill="1" applyBorder="1" applyAlignment="1"/>
    <xf numFmtId="4" fontId="12" fillId="0" borderId="46" xfId="0" applyNumberFormat="1" applyFont="1" applyBorder="1" applyAlignment="1"/>
    <xf numFmtId="171" fontId="12" fillId="5" borderId="46" xfId="0" applyNumberFormat="1" applyFont="1" applyFill="1" applyBorder="1" applyAlignment="1"/>
    <xf numFmtId="171" fontId="12" fillId="5" borderId="46" xfId="0" applyNumberFormat="1" applyFont="1" applyFill="1" applyBorder="1" applyAlignment="1"/>
    <xf numFmtId="169" fontId="9" fillId="0" borderId="66" xfId="0" applyNumberFormat="1" applyFont="1" applyBorder="1" applyAlignment="1"/>
    <xf numFmtId="169" fontId="9" fillId="0" borderId="67" xfId="0" applyNumberFormat="1" applyFont="1" applyBorder="1" applyAlignment="1"/>
    <xf numFmtId="0" fontId="3" fillId="0" borderId="45" xfId="0" applyFont="1" applyBorder="1" applyAlignment="1">
      <alignment horizontal="left"/>
    </xf>
    <xf numFmtId="10" fontId="1" fillId="0" borderId="48" xfId="0" applyNumberFormat="1" applyFont="1" applyBorder="1" applyAlignment="1"/>
    <xf numFmtId="171" fontId="3" fillId="5" borderId="46" xfId="0" applyNumberFormat="1" applyFont="1" applyFill="1" applyBorder="1" applyAlignment="1"/>
    <xf numFmtId="171" fontId="3" fillId="0" borderId="46" xfId="0" applyNumberFormat="1" applyFont="1" applyBorder="1" applyAlignment="1"/>
    <xf numFmtId="9" fontId="12" fillId="0" borderId="48" xfId="0" applyNumberFormat="1" applyFont="1" applyBorder="1" applyAlignment="1"/>
    <xf numFmtId="171" fontId="22" fillId="5" borderId="0" xfId="0" applyNumberFormat="1" applyFont="1" applyFill="1"/>
    <xf numFmtId="171" fontId="3" fillId="0" borderId="65" xfId="0" applyNumberFormat="1" applyFont="1" applyBorder="1" applyAlignment="1"/>
    <xf numFmtId="171" fontId="12" fillId="0" borderId="46" xfId="0" applyNumberFormat="1" applyFont="1" applyBorder="1" applyAlignment="1">
      <alignment horizontal="center"/>
    </xf>
    <xf numFmtId="0" fontId="1" fillId="0" borderId="47" xfId="0" applyFont="1" applyBorder="1" applyAlignment="1">
      <alignment horizontal="left" vertical="center"/>
    </xf>
    <xf numFmtId="4" fontId="3" fillId="0" borderId="46" xfId="0" applyNumberFormat="1" applyFont="1" applyBorder="1" applyAlignment="1"/>
    <xf numFmtId="172" fontId="1" fillId="0" borderId="48" xfId="0" applyNumberFormat="1" applyFont="1" applyBorder="1" applyAlignment="1"/>
    <xf numFmtId="0" fontId="1" fillId="0" borderId="68" xfId="0" applyFont="1" applyBorder="1" applyAlignment="1">
      <alignment horizontal="left" vertical="center"/>
    </xf>
    <xf numFmtId="169" fontId="1" fillId="0" borderId="69" xfId="0" applyNumberFormat="1" applyFont="1" applyBorder="1" applyAlignment="1"/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left" vertical="center"/>
    </xf>
    <xf numFmtId="171" fontId="3" fillId="0" borderId="46" xfId="0" applyNumberFormat="1" applyFont="1" applyBorder="1" applyAlignment="1">
      <alignment horizontal="center"/>
    </xf>
    <xf numFmtId="169" fontId="1" fillId="0" borderId="71" xfId="0" applyNumberFormat="1" applyFont="1" applyBorder="1" applyAlignment="1"/>
    <xf numFmtId="171" fontId="12" fillId="0" borderId="65" xfId="0" applyNumberFormat="1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173" fontId="12" fillId="0" borderId="0" xfId="0" applyNumberFormat="1" applyFont="1" applyAlignment="1"/>
    <xf numFmtId="173" fontId="21" fillId="0" borderId="59" xfId="0" applyNumberFormat="1" applyFont="1" applyBorder="1" applyAlignment="1">
      <alignment horizontal="center"/>
    </xf>
    <xf numFmtId="171" fontId="3" fillId="0" borderId="41" xfId="0" applyNumberFormat="1" applyFont="1" applyBorder="1" applyAlignment="1"/>
    <xf numFmtId="0" fontId="23" fillId="6" borderId="0" xfId="0" applyFont="1" applyFill="1" applyAlignment="1"/>
    <xf numFmtId="0" fontId="1" fillId="6" borderId="0" xfId="0" applyFont="1" applyFill="1" applyAlignment="1"/>
    <xf numFmtId="0" fontId="1" fillId="5" borderId="0" xfId="0" applyFont="1" applyFill="1" applyAlignment="1"/>
    <xf numFmtId="171" fontId="3" fillId="5" borderId="41" xfId="0" applyNumberFormat="1" applyFont="1" applyFill="1" applyBorder="1" applyAlignment="1"/>
    <xf numFmtId="169" fontId="9" fillId="5" borderId="0" xfId="0" applyNumberFormat="1" applyFont="1" applyFill="1" applyAlignment="1"/>
    <xf numFmtId="173" fontId="3" fillId="0" borderId="0" xfId="0" applyNumberFormat="1" applyFont="1" applyAlignment="1">
      <alignment horizontal="center"/>
    </xf>
    <xf numFmtId="173" fontId="21" fillId="0" borderId="72" xfId="0" applyNumberFormat="1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5" fillId="5" borderId="0" xfId="0" applyFont="1" applyFill="1" applyAlignment="1"/>
    <xf numFmtId="0" fontId="9" fillId="5" borderId="74" xfId="0" applyFont="1" applyFill="1" applyBorder="1" applyAlignment="1">
      <alignment horizontal="center"/>
    </xf>
    <xf numFmtId="0" fontId="5" fillId="5" borderId="75" xfId="0" applyFont="1" applyFill="1" applyBorder="1" applyAlignment="1"/>
    <xf numFmtId="0" fontId="1" fillId="5" borderId="76" xfId="0" applyFont="1" applyFill="1" applyBorder="1" applyAlignment="1">
      <alignment horizontal="center"/>
    </xf>
    <xf numFmtId="9" fontId="1" fillId="5" borderId="76" xfId="0" applyNumberFormat="1" applyFont="1" applyFill="1" applyBorder="1" applyAlignment="1">
      <alignment horizontal="center"/>
    </xf>
    <xf numFmtId="0" fontId="5" fillId="5" borderId="77" xfId="0" applyFont="1" applyFill="1" applyBorder="1" applyAlignment="1"/>
    <xf numFmtId="0" fontId="1" fillId="5" borderId="78" xfId="0" applyFont="1" applyFill="1" applyBorder="1" applyAlignment="1">
      <alignment horizontal="center"/>
    </xf>
    <xf numFmtId="0" fontId="5" fillId="5" borderId="21" xfId="0" applyFont="1" applyFill="1" applyBorder="1" applyAlignment="1"/>
    <xf numFmtId="0" fontId="1" fillId="5" borderId="51" xfId="0" applyFont="1" applyFill="1" applyBorder="1" applyAlignment="1">
      <alignment horizontal="center"/>
    </xf>
    <xf numFmtId="0" fontId="5" fillId="5" borderId="79" xfId="0" applyFont="1" applyFill="1" applyBorder="1" applyAlignment="1"/>
    <xf numFmtId="0" fontId="9" fillId="5" borderId="23" xfId="0" applyFont="1" applyFill="1" applyBorder="1" applyAlignment="1">
      <alignment horizontal="center"/>
    </xf>
    <xf numFmtId="9" fontId="3" fillId="5" borderId="23" xfId="0" applyNumberFormat="1" applyFont="1" applyFill="1" applyBorder="1" applyAlignment="1">
      <alignment horizontal="center"/>
    </xf>
    <xf numFmtId="0" fontId="24" fillId="0" borderId="0" xfId="0" applyFont="1" applyAlignment="1"/>
    <xf numFmtId="0" fontId="25" fillId="6" borderId="0" xfId="0" applyFont="1" applyFill="1" applyAlignment="1"/>
    <xf numFmtId="0" fontId="9" fillId="0" borderId="0" xfId="0" applyFont="1" applyAlignment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/>
    <xf numFmtId="174" fontId="1" fillId="0" borderId="26" xfId="0" applyNumberFormat="1" applyFont="1" applyBorder="1" applyAlignment="1">
      <alignment horizontal="center"/>
    </xf>
    <xf numFmtId="175" fontId="1" fillId="0" borderId="76" xfId="0" applyNumberFormat="1" applyFont="1" applyBorder="1" applyAlignment="1"/>
    <xf numFmtId="175" fontId="1" fillId="0" borderId="81" xfId="0" applyNumberFormat="1" applyFont="1" applyBorder="1" applyAlignment="1"/>
    <xf numFmtId="0" fontId="26" fillId="0" borderId="0" xfId="0" applyFont="1" applyAlignment="1"/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/>
    <xf numFmtId="176" fontId="1" fillId="0" borderId="48" xfId="0" applyNumberFormat="1" applyFont="1" applyBorder="1" applyAlignment="1">
      <alignment horizontal="center"/>
    </xf>
    <xf numFmtId="177" fontId="1" fillId="0" borderId="78" xfId="0" applyNumberFormat="1" applyFont="1" applyBorder="1" applyAlignment="1"/>
    <xf numFmtId="178" fontId="1" fillId="0" borderId="48" xfId="0" applyNumberFormat="1" applyFont="1" applyBorder="1" applyAlignment="1">
      <alignment horizontal="center"/>
    </xf>
    <xf numFmtId="0" fontId="7" fillId="0" borderId="0" xfId="0" applyFont="1" applyAlignment="1"/>
    <xf numFmtId="2" fontId="7" fillId="0" borderId="3" xfId="0" applyNumberFormat="1" applyFont="1" applyBorder="1" applyAlignment="1">
      <alignment horizontal="center"/>
    </xf>
    <xf numFmtId="175" fontId="9" fillId="0" borderId="23" xfId="0" applyNumberFormat="1" applyFont="1" applyBorder="1" applyAlignment="1"/>
    <xf numFmtId="174" fontId="1" fillId="0" borderId="48" xfId="0" applyNumberFormat="1" applyFont="1" applyBorder="1" applyAlignment="1">
      <alignment horizontal="center"/>
    </xf>
    <xf numFmtId="2" fontId="1" fillId="0" borderId="0" xfId="0" applyNumberFormat="1" applyFont="1" applyAlignme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79" fontId="1" fillId="0" borderId="5" xfId="0" applyNumberFormat="1" applyFont="1" applyBorder="1" applyAlignment="1">
      <alignment horizontal="center"/>
    </xf>
    <xf numFmtId="177" fontId="1" fillId="0" borderId="5" xfId="0" applyNumberFormat="1" applyFont="1" applyBorder="1" applyAlignment="1"/>
    <xf numFmtId="177" fontId="1" fillId="0" borderId="7" xfId="0" applyNumberFormat="1" applyFont="1" applyBorder="1" applyAlignment="1"/>
    <xf numFmtId="177" fontId="9" fillId="0" borderId="80" xfId="0" applyNumberFormat="1" applyFont="1" applyBorder="1" applyAlignment="1"/>
    <xf numFmtId="165" fontId="1" fillId="0" borderId="0" xfId="0" applyNumberFormat="1" applyFont="1" applyAlignment="1"/>
    <xf numFmtId="177" fontId="9" fillId="0" borderId="23" xfId="0" applyNumberFormat="1" applyFont="1" applyBorder="1" applyAlignment="1"/>
    <xf numFmtId="0" fontId="28" fillId="0" borderId="0" xfId="0" applyFont="1" applyAlignment="1"/>
    <xf numFmtId="0" fontId="1" fillId="0" borderId="48" xfId="0" applyFont="1" applyBorder="1" applyAlignment="1"/>
    <xf numFmtId="0" fontId="1" fillId="0" borderId="48" xfId="0" applyFont="1" applyBorder="1" applyAlignment="1"/>
    <xf numFmtId="0" fontId="9" fillId="0" borderId="4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80" fontId="9" fillId="0" borderId="23" xfId="0" applyNumberFormat="1" applyFont="1" applyBorder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9" fillId="7" borderId="85" xfId="0" applyFont="1" applyFill="1" applyBorder="1" applyAlignment="1">
      <alignment horizontal="center" vertical="center" wrapText="1"/>
    </xf>
    <xf numFmtId="0" fontId="29" fillId="0" borderId="76" xfId="0" applyFont="1" applyBorder="1" applyAlignment="1">
      <alignment horizontal="center"/>
    </xf>
    <xf numFmtId="0" fontId="30" fillId="0" borderId="81" xfId="0" applyFont="1" applyBorder="1" applyAlignment="1">
      <alignment horizontal="left"/>
    </xf>
    <xf numFmtId="181" fontId="30" fillId="0" borderId="81" xfId="0" applyNumberFormat="1" applyFont="1" applyBorder="1" applyAlignment="1">
      <alignment horizontal="center"/>
    </xf>
    <xf numFmtId="0" fontId="29" fillId="0" borderId="78" xfId="0" applyFont="1" applyBorder="1" applyAlignment="1">
      <alignment horizontal="center"/>
    </xf>
    <xf numFmtId="0" fontId="30" fillId="0" borderId="86" xfId="0" applyFont="1" applyBorder="1" applyAlignment="1">
      <alignment horizontal="left"/>
    </xf>
    <xf numFmtId="181" fontId="30" fillId="0" borderId="86" xfId="0" applyNumberFormat="1" applyFont="1" applyBorder="1" applyAlignment="1">
      <alignment horizontal="center"/>
    </xf>
    <xf numFmtId="181" fontId="30" fillId="0" borderId="86" xfId="0" applyNumberFormat="1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30" fillId="0" borderId="24" xfId="0" applyFont="1" applyBorder="1" applyAlignment="1">
      <alignment horizontal="left"/>
    </xf>
    <xf numFmtId="181" fontId="30" fillId="0" borderId="24" xfId="0" applyNumberFormat="1" applyFont="1" applyBorder="1" applyAlignment="1">
      <alignment horizontal="center"/>
    </xf>
    <xf numFmtId="181" fontId="30" fillId="0" borderId="24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181" fontId="9" fillId="0" borderId="23" xfId="0" applyNumberFormat="1" applyFont="1" applyBorder="1" applyAlignment="1">
      <alignment horizontal="center"/>
    </xf>
    <xf numFmtId="181" fontId="9" fillId="0" borderId="80" xfId="0" applyNumberFormat="1" applyFont="1" applyBorder="1" applyAlignment="1">
      <alignment horizontal="center"/>
    </xf>
    <xf numFmtId="181" fontId="9" fillId="0" borderId="0" xfId="0" applyNumberFormat="1" applyFont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87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47" xfId="0" applyFont="1" applyFill="1" applyBorder="1" applyAlignment="1"/>
    <xf numFmtId="170" fontId="1" fillId="5" borderId="48" xfId="0" applyNumberFormat="1" applyFont="1" applyFill="1" applyBorder="1" applyAlignment="1"/>
    <xf numFmtId="0" fontId="9" fillId="5" borderId="70" xfId="0" applyFont="1" applyFill="1" applyBorder="1" applyAlignment="1"/>
    <xf numFmtId="169" fontId="1" fillId="5" borderId="71" xfId="0" applyNumberFormat="1" applyFont="1" applyFill="1" applyBorder="1" applyAlignment="1"/>
    <xf numFmtId="169" fontId="1" fillId="5" borderId="88" xfId="0" applyNumberFormat="1" applyFont="1" applyFill="1" applyBorder="1" applyAlignment="1"/>
    <xf numFmtId="169" fontId="1" fillId="0" borderId="0" xfId="0" applyNumberFormat="1" applyFont="1" applyAlignment="1"/>
    <xf numFmtId="0" fontId="30" fillId="0" borderId="81" xfId="0" applyFont="1" applyBorder="1" applyAlignment="1">
      <alignment horizontal="left"/>
    </xf>
    <xf numFmtId="181" fontId="30" fillId="0" borderId="81" xfId="0" applyNumberFormat="1" applyFont="1" applyBorder="1" applyAlignment="1">
      <alignment horizontal="center"/>
    </xf>
    <xf numFmtId="0" fontId="29" fillId="0" borderId="78" xfId="0" applyFont="1" applyBorder="1" applyAlignment="1">
      <alignment horizontal="center"/>
    </xf>
    <xf numFmtId="0" fontId="29" fillId="0" borderId="89" xfId="0" applyFont="1" applyBorder="1" applyAlignment="1">
      <alignment horizontal="center"/>
    </xf>
    <xf numFmtId="0" fontId="30" fillId="0" borderId="90" xfId="0" applyFont="1" applyBorder="1" applyAlignment="1">
      <alignment horizontal="left"/>
    </xf>
    <xf numFmtId="181" fontId="30" fillId="0" borderId="90" xfId="0" applyNumberFormat="1" applyFont="1" applyBorder="1" applyAlignment="1">
      <alignment horizontal="center"/>
    </xf>
    <xf numFmtId="0" fontId="9" fillId="6" borderId="0" xfId="0" applyFont="1" applyFill="1" applyAlignment="1"/>
    <xf numFmtId="0" fontId="29" fillId="0" borderId="51" xfId="0" applyFont="1" applyBorder="1" applyAlignment="1">
      <alignment horizontal="center"/>
    </xf>
    <xf numFmtId="0" fontId="30" fillId="0" borderId="90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31" fillId="0" borderId="0" xfId="0" applyFont="1" applyAlignment="1"/>
    <xf numFmtId="0" fontId="32" fillId="5" borderId="0" xfId="0" applyFont="1" applyFill="1" applyAlignment="1"/>
    <xf numFmtId="0" fontId="33" fillId="5" borderId="0" xfId="0" applyFont="1" applyFill="1" applyAlignment="1"/>
    <xf numFmtId="0" fontId="34" fillId="5" borderId="0" xfId="0" applyFont="1" applyFill="1" applyAlignment="1"/>
    <xf numFmtId="0" fontId="9" fillId="5" borderId="79" xfId="0" applyFont="1" applyFill="1" applyBorder="1" applyAlignment="1">
      <alignment horizontal="center"/>
    </xf>
    <xf numFmtId="0" fontId="9" fillId="5" borderId="79" xfId="0" applyFont="1" applyFill="1" applyBorder="1" applyAlignment="1"/>
    <xf numFmtId="0" fontId="9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92" xfId="0" applyFont="1" applyFill="1" applyBorder="1" applyAlignment="1">
      <alignment horizontal="center"/>
    </xf>
    <xf numFmtId="0" fontId="1" fillId="5" borderId="77" xfId="0" applyFont="1" applyFill="1" applyBorder="1" applyAlignment="1"/>
    <xf numFmtId="9" fontId="1" fillId="5" borderId="78" xfId="0" applyNumberFormat="1" applyFont="1" applyFill="1" applyBorder="1" applyAlignment="1">
      <alignment horizontal="center"/>
    </xf>
    <xf numFmtId="169" fontId="1" fillId="5" borderId="47" xfId="0" applyNumberFormat="1" applyFont="1" applyFill="1" applyBorder="1" applyAlignment="1"/>
    <xf numFmtId="169" fontId="1" fillId="5" borderId="48" xfId="0" applyNumberFormat="1" applyFont="1" applyFill="1" applyBorder="1" applyAlignment="1"/>
    <xf numFmtId="169" fontId="1" fillId="5" borderId="56" xfId="0" applyNumberFormat="1" applyFont="1" applyFill="1" applyBorder="1" applyAlignment="1"/>
    <xf numFmtId="169" fontId="1" fillId="5" borderId="93" xfId="0" applyNumberFormat="1" applyFont="1" applyFill="1" applyBorder="1" applyAlignment="1"/>
    <xf numFmtId="175" fontId="1" fillId="5" borderId="47" xfId="0" applyNumberFormat="1" applyFont="1" applyFill="1" applyBorder="1" applyAlignment="1"/>
    <xf numFmtId="175" fontId="1" fillId="5" borderId="48" xfId="0" applyNumberFormat="1" applyFont="1" applyFill="1" applyBorder="1" applyAlignment="1"/>
    <xf numFmtId="0" fontId="1" fillId="5" borderId="21" xfId="0" applyFont="1" applyFill="1" applyBorder="1" applyAlignment="1"/>
    <xf numFmtId="9" fontId="1" fillId="5" borderId="51" xfId="0" applyNumberFormat="1" applyFont="1" applyFill="1" applyBorder="1" applyAlignment="1">
      <alignment horizontal="center"/>
    </xf>
    <xf numFmtId="177" fontId="1" fillId="5" borderId="70" xfId="0" applyNumberFormat="1" applyFont="1" applyFill="1" applyBorder="1" applyAlignment="1"/>
    <xf numFmtId="177" fontId="1" fillId="5" borderId="71" xfId="0" applyNumberFormat="1" applyFont="1" applyFill="1" applyBorder="1" applyAlignment="1"/>
    <xf numFmtId="169" fontId="1" fillId="5" borderId="94" xfId="0" applyNumberFormat="1" applyFont="1" applyFill="1" applyBorder="1" applyAlignment="1"/>
    <xf numFmtId="169" fontId="9" fillId="5" borderId="97" xfId="0" applyNumberFormat="1" applyFont="1" applyFill="1" applyBorder="1" applyAlignment="1"/>
    <xf numFmtId="169" fontId="9" fillId="5" borderId="96" xfId="0" applyNumberFormat="1" applyFont="1" applyFill="1" applyBorder="1" applyAlignment="1"/>
    <xf numFmtId="0" fontId="9" fillId="5" borderId="0" xfId="0" applyFont="1" applyFill="1" applyAlignment="1">
      <alignment horizontal="center"/>
    </xf>
    <xf numFmtId="169" fontId="1" fillId="5" borderId="0" xfId="0" applyNumberFormat="1" applyFont="1" applyFill="1" applyAlignment="1"/>
    <xf numFmtId="170" fontId="1" fillId="5" borderId="56" xfId="0" applyNumberFormat="1" applyFont="1" applyFill="1" applyBorder="1" applyAlignment="1"/>
    <xf numFmtId="0" fontId="1" fillId="5" borderId="98" xfId="0" applyFont="1" applyFill="1" applyBorder="1" applyAlignment="1"/>
    <xf numFmtId="180" fontId="1" fillId="5" borderId="99" xfId="0" applyNumberFormat="1" applyFont="1" applyFill="1" applyBorder="1" applyAlignment="1">
      <alignment horizontal="center"/>
    </xf>
    <xf numFmtId="169" fontId="16" fillId="5" borderId="0" xfId="0" applyNumberFormat="1" applyFont="1" applyFill="1"/>
    <xf numFmtId="169" fontId="11" fillId="5" borderId="26" xfId="0" applyNumberFormat="1" applyFont="1" applyFill="1" applyBorder="1" applyAlignment="1"/>
    <xf numFmtId="169" fontId="11" fillId="5" borderId="27" xfId="0" applyNumberFormat="1" applyFont="1" applyFill="1" applyBorder="1" applyAlignment="1"/>
    <xf numFmtId="169" fontId="1" fillId="5" borderId="100" xfId="0" applyNumberFormat="1" applyFont="1" applyFill="1" applyBorder="1" applyAlignment="1"/>
    <xf numFmtId="169" fontId="1" fillId="5" borderId="26" xfId="0" applyNumberFormat="1" applyFont="1" applyFill="1" applyBorder="1" applyAlignment="1"/>
    <xf numFmtId="169" fontId="1" fillId="5" borderId="27" xfId="0" applyNumberFormat="1" applyFont="1" applyFill="1" applyBorder="1" applyAlignment="1"/>
    <xf numFmtId="180" fontId="1" fillId="5" borderId="78" xfId="0" applyNumberFormat="1" applyFont="1" applyFill="1" applyBorder="1" applyAlignment="1">
      <alignment horizontal="center"/>
    </xf>
    <xf numFmtId="169" fontId="11" fillId="5" borderId="47" xfId="0" applyNumberFormat="1" applyFont="1" applyFill="1" applyBorder="1" applyAlignment="1"/>
    <xf numFmtId="169" fontId="11" fillId="5" borderId="48" xfId="0" applyNumberFormat="1" applyFont="1" applyFill="1" applyBorder="1" applyAlignment="1"/>
    <xf numFmtId="169" fontId="11" fillId="5" borderId="56" xfId="0" applyNumberFormat="1" applyFont="1" applyFill="1" applyBorder="1" applyAlignment="1"/>
    <xf numFmtId="180" fontId="1" fillId="5" borderId="51" xfId="0" applyNumberFormat="1" applyFont="1" applyFill="1" applyBorder="1" applyAlignment="1">
      <alignment horizontal="center"/>
    </xf>
    <xf numFmtId="177" fontId="11" fillId="5" borderId="70" xfId="0" applyNumberFormat="1" applyFont="1" applyFill="1" applyBorder="1" applyAlignment="1"/>
    <xf numFmtId="177" fontId="11" fillId="5" borderId="71" xfId="0" applyNumberFormat="1" applyFont="1" applyFill="1" applyBorder="1" applyAlignment="1"/>
    <xf numFmtId="169" fontId="11" fillId="5" borderId="88" xfId="0" applyNumberFormat="1" applyFont="1" applyFill="1" applyBorder="1" applyAlignment="1"/>
    <xf numFmtId="169" fontId="1" fillId="5" borderId="25" xfId="0" applyNumberFormat="1" applyFont="1" applyFill="1" applyBorder="1" applyAlignment="1"/>
    <xf numFmtId="0" fontId="35" fillId="6" borderId="0" xfId="0" applyFont="1" applyFill="1" applyAlignment="1">
      <alignment vertical="top"/>
    </xf>
    <xf numFmtId="0" fontId="36" fillId="0" borderId="0" xfId="0" applyFont="1" applyAlignment="1">
      <alignment vertical="top"/>
    </xf>
    <xf numFmtId="0" fontId="7" fillId="0" borderId="87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1" fillId="0" borderId="102" xfId="0" applyFont="1" applyBorder="1" applyAlignment="1"/>
    <xf numFmtId="0" fontId="1" fillId="0" borderId="71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104" xfId="0" applyFont="1" applyBorder="1" applyAlignment="1"/>
    <xf numFmtId="0" fontId="38" fillId="0" borderId="48" xfId="0" applyFont="1" applyBorder="1" applyAlignment="1"/>
    <xf numFmtId="170" fontId="5" fillId="0" borderId="19" xfId="0" applyNumberFormat="1" applyFont="1" applyBorder="1" applyAlignment="1"/>
    <xf numFmtId="0" fontId="39" fillId="8" borderId="105" xfId="0" applyFont="1" applyFill="1" applyBorder="1" applyAlignment="1"/>
    <xf numFmtId="182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/>
    <xf numFmtId="183" fontId="5" fillId="0" borderId="53" xfId="0" applyNumberFormat="1" applyFont="1" applyBorder="1" applyAlignment="1"/>
    <xf numFmtId="0" fontId="38" fillId="0" borderId="26" xfId="0" applyFont="1" applyBorder="1" applyAlignment="1"/>
    <xf numFmtId="170" fontId="5" fillId="0" borderId="56" xfId="0" applyNumberFormat="1" applyFont="1" applyBorder="1" applyAlignment="1"/>
    <xf numFmtId="0" fontId="40" fillId="0" borderId="26" xfId="0" applyFont="1" applyBorder="1" applyAlignment="1"/>
    <xf numFmtId="170" fontId="41" fillId="0" borderId="56" xfId="0" applyNumberFormat="1" applyFont="1" applyBorder="1" applyAlignment="1"/>
    <xf numFmtId="0" fontId="5" fillId="0" borderId="93" xfId="0" applyFont="1" applyBorder="1" applyAlignment="1"/>
    <xf numFmtId="0" fontId="1" fillId="0" borderId="47" xfId="0" applyFont="1" applyBorder="1" applyAlignment="1"/>
    <xf numFmtId="182" fontId="1" fillId="0" borderId="48" xfId="0" applyNumberFormat="1" applyFont="1" applyBorder="1" applyAlignment="1">
      <alignment horizontal="center"/>
    </xf>
    <xf numFmtId="183" fontId="5" fillId="0" borderId="54" xfId="0" applyNumberFormat="1" applyFont="1" applyBorder="1" applyAlignment="1"/>
    <xf numFmtId="170" fontId="7" fillId="0" borderId="56" xfId="0" applyNumberFormat="1" applyFont="1" applyBorder="1" applyAlignment="1"/>
    <xf numFmtId="0" fontId="1" fillId="0" borderId="68" xfId="0" applyFont="1" applyBorder="1" applyAlignment="1"/>
    <xf numFmtId="182" fontId="1" fillId="0" borderId="69" xfId="0" applyNumberFormat="1" applyFont="1" applyBorder="1" applyAlignment="1">
      <alignment horizontal="center"/>
    </xf>
    <xf numFmtId="0" fontId="1" fillId="0" borderId="69" xfId="0" applyFont="1" applyBorder="1" applyAlignment="1"/>
    <xf numFmtId="183" fontId="5" fillId="0" borderId="106" xfId="0" applyNumberFormat="1" applyFont="1" applyBorder="1" applyAlignment="1"/>
    <xf numFmtId="182" fontId="7" fillId="0" borderId="7" xfId="0" applyNumberFormat="1" applyFont="1" applyBorder="1" applyAlignment="1">
      <alignment horizontal="center"/>
    </xf>
    <xf numFmtId="0" fontId="7" fillId="9" borderId="107" xfId="0" applyFont="1" applyFill="1" applyBorder="1" applyAlignment="1"/>
    <xf numFmtId="183" fontId="7" fillId="0" borderId="79" xfId="0" applyNumberFormat="1" applyFont="1" applyBorder="1" applyAlignment="1"/>
    <xf numFmtId="0" fontId="1" fillId="0" borderId="108" xfId="0" applyFont="1" applyBorder="1" applyAlignment="1"/>
    <xf numFmtId="0" fontId="7" fillId="0" borderId="109" xfId="0" applyFont="1" applyBorder="1" applyAlignment="1"/>
    <xf numFmtId="170" fontId="9" fillId="0" borderId="19" xfId="0" applyNumberFormat="1" applyFont="1" applyBorder="1" applyAlignment="1"/>
    <xf numFmtId="183" fontId="7" fillId="0" borderId="52" xfId="0" applyNumberFormat="1" applyFont="1" applyBorder="1" applyAlignment="1"/>
    <xf numFmtId="0" fontId="7" fillId="0" borderId="94" xfId="0" applyFont="1" applyBorder="1" applyAlignment="1"/>
    <xf numFmtId="170" fontId="9" fillId="0" borderId="88" xfId="0" applyNumberFormat="1" applyFont="1" applyBorder="1" applyAlignment="1"/>
    <xf numFmtId="183" fontId="7" fillId="0" borderId="0" xfId="0" applyNumberFormat="1" applyFont="1" applyAlignment="1"/>
    <xf numFmtId="0" fontId="9" fillId="0" borderId="25" xfId="0" applyFont="1" applyBorder="1" applyAlignment="1"/>
    <xf numFmtId="170" fontId="1" fillId="0" borderId="26" xfId="0" applyNumberFormat="1" applyFont="1" applyBorder="1" applyAlignment="1"/>
    <xf numFmtId="170" fontId="1" fillId="0" borderId="27" xfId="0" applyNumberFormat="1" applyFont="1" applyBorder="1" applyAlignment="1"/>
    <xf numFmtId="0" fontId="9" fillId="0" borderId="70" xfId="0" applyFont="1" applyBorder="1" applyAlignment="1"/>
    <xf numFmtId="169" fontId="1" fillId="0" borderId="71" xfId="0" applyNumberFormat="1" applyFont="1" applyBorder="1" applyAlignment="1"/>
    <xf numFmtId="169" fontId="1" fillId="0" borderId="88" xfId="0" applyNumberFormat="1" applyFont="1" applyBorder="1" applyAlignment="1"/>
    <xf numFmtId="0" fontId="1" fillId="0" borderId="23" xfId="0" applyFont="1" applyBorder="1" applyAlignment="1"/>
    <xf numFmtId="0" fontId="1" fillId="0" borderId="69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5" fillId="0" borderId="109" xfId="0" applyFont="1" applyBorder="1" applyAlignment="1"/>
    <xf numFmtId="170" fontId="5" fillId="5" borderId="19" xfId="0" applyNumberFormat="1" applyFont="1" applyFill="1" applyBorder="1" applyAlignment="1"/>
    <xf numFmtId="0" fontId="42" fillId="5" borderId="47" xfId="0" applyFont="1" applyFill="1" applyBorder="1" applyAlignment="1"/>
    <xf numFmtId="0" fontId="42" fillId="5" borderId="48" xfId="0" applyFont="1" applyFill="1" applyBorder="1" applyAlignment="1"/>
    <xf numFmtId="0" fontId="39" fillId="5" borderId="48" xfId="0" applyFont="1" applyFill="1" applyBorder="1" applyAlignment="1"/>
    <xf numFmtId="0" fontId="39" fillId="5" borderId="80" xfId="0" applyFont="1" applyFill="1" applyBorder="1" applyAlignment="1"/>
    <xf numFmtId="0" fontId="5" fillId="0" borderId="100" xfId="0" applyFont="1" applyBorder="1" applyAlignment="1"/>
    <xf numFmtId="170" fontId="5" fillId="5" borderId="27" xfId="0" applyNumberFormat="1" applyFont="1" applyFill="1" applyBorder="1" applyAlignment="1"/>
    <xf numFmtId="0" fontId="41" fillId="0" borderId="0" xfId="0" applyFont="1" applyAlignment="1"/>
    <xf numFmtId="170" fontId="5" fillId="5" borderId="56" xfId="0" applyNumberFormat="1" applyFont="1" applyFill="1" applyBorder="1" applyAlignment="1"/>
    <xf numFmtId="3" fontId="39" fillId="5" borderId="48" xfId="0" applyNumberFormat="1" applyFont="1" applyFill="1" applyBorder="1" applyAlignment="1"/>
    <xf numFmtId="3" fontId="39" fillId="5" borderId="80" xfId="0" applyNumberFormat="1" applyFont="1" applyFill="1" applyBorder="1" applyAlignment="1"/>
    <xf numFmtId="182" fontId="7" fillId="0" borderId="15" xfId="0" applyNumberFormat="1" applyFont="1" applyBorder="1" applyAlignment="1">
      <alignment horizontal="center"/>
    </xf>
    <xf numFmtId="0" fontId="7" fillId="9" borderId="110" xfId="0" applyFont="1" applyFill="1" applyBorder="1" applyAlignment="1"/>
    <xf numFmtId="183" fontId="7" fillId="0" borderId="95" xfId="0" applyNumberFormat="1" applyFont="1" applyBorder="1" applyAlignment="1"/>
    <xf numFmtId="0" fontId="1" fillId="0" borderId="23" xfId="0" applyFont="1" applyBorder="1" applyAlignment="1"/>
    <xf numFmtId="0" fontId="1" fillId="0" borderId="111" xfId="0" applyFont="1" applyBorder="1" applyAlignment="1"/>
    <xf numFmtId="0" fontId="1" fillId="0" borderId="96" xfId="0" applyFont="1" applyBorder="1" applyAlignment="1"/>
    <xf numFmtId="0" fontId="1" fillId="0" borderId="47" xfId="0" applyFont="1" applyBorder="1" applyAlignment="1"/>
    <xf numFmtId="9" fontId="1" fillId="0" borderId="48" xfId="0" applyNumberFormat="1" applyFont="1" applyBorder="1" applyAlignment="1"/>
    <xf numFmtId="170" fontId="9" fillId="0" borderId="101" xfId="0" applyNumberFormat="1" applyFont="1" applyBorder="1" applyAlignment="1"/>
    <xf numFmtId="0" fontId="1" fillId="9" borderId="47" xfId="0" applyFont="1" applyFill="1" applyBorder="1" applyAlignment="1"/>
    <xf numFmtId="170" fontId="5" fillId="0" borderId="48" xfId="0" applyNumberFormat="1" applyFont="1" applyBorder="1" applyAlignment="1"/>
    <xf numFmtId="0" fontId="7" fillId="0" borderId="70" xfId="0" applyFont="1" applyBorder="1" applyAlignment="1"/>
    <xf numFmtId="170" fontId="9" fillId="0" borderId="103" xfId="0" applyNumberFormat="1" applyFont="1" applyBorder="1" applyAlignment="1"/>
    <xf numFmtId="0" fontId="1" fillId="9" borderId="70" xfId="0" applyFont="1" applyFill="1" applyBorder="1" applyAlignment="1"/>
    <xf numFmtId="0" fontId="43" fillId="0" borderId="0" xfId="0" applyFont="1" applyAlignment="1"/>
    <xf numFmtId="0" fontId="44" fillId="10" borderId="0" xfId="0" applyFont="1" applyFill="1" applyAlignment="1">
      <alignment horizontal="center"/>
    </xf>
    <xf numFmtId="0" fontId="1" fillId="5" borderId="95" xfId="0" applyFont="1" applyFill="1" applyBorder="1" applyAlignment="1"/>
    <xf numFmtId="0" fontId="42" fillId="8" borderId="0" xfId="0" applyFont="1" applyFill="1" applyAlignment="1"/>
    <xf numFmtId="0" fontId="5" fillId="5" borderId="23" xfId="0" applyFont="1" applyFill="1" applyBorder="1" applyAlignment="1"/>
    <xf numFmtId="3" fontId="1" fillId="5" borderId="66" xfId="0" applyNumberFormat="1" applyFont="1" applyFill="1" applyBorder="1" applyAlignment="1"/>
    <xf numFmtId="3" fontId="1" fillId="5" borderId="74" xfId="0" applyNumberFormat="1" applyFont="1" applyFill="1" applyBorder="1" applyAlignment="1"/>
    <xf numFmtId="0" fontId="42" fillId="5" borderId="0" xfId="0" applyFont="1" applyFill="1" applyAlignment="1"/>
    <xf numFmtId="0" fontId="1" fillId="5" borderId="79" xfId="0" applyFont="1" applyFill="1" applyBorder="1" applyAlignment="1"/>
    <xf numFmtId="3" fontId="42" fillId="5" borderId="0" xfId="0" applyNumberFormat="1" applyFont="1" applyFill="1" applyAlignment="1"/>
    <xf numFmtId="0" fontId="45" fillId="5" borderId="0" xfId="0" applyFont="1" applyFill="1" applyAlignment="1"/>
    <xf numFmtId="0" fontId="44" fillId="5" borderId="0" xfId="0" applyFont="1" applyFill="1" applyAlignment="1"/>
    <xf numFmtId="0" fontId="1" fillId="5" borderId="23" xfId="0" applyFont="1" applyFill="1" applyBorder="1" applyAlignment="1"/>
    <xf numFmtId="167" fontId="12" fillId="5" borderId="23" xfId="0" applyNumberFormat="1" applyFont="1" applyFill="1" applyBorder="1" applyAlignment="1"/>
    <xf numFmtId="0" fontId="44" fillId="8" borderId="0" xfId="0" applyFont="1" applyFill="1" applyAlignment="1"/>
    <xf numFmtId="0" fontId="42" fillId="5" borderId="0" xfId="0" applyFont="1" applyFill="1"/>
    <xf numFmtId="3" fontId="42" fillId="5" borderId="0" xfId="0" applyNumberFormat="1" applyFont="1" applyFill="1"/>
    <xf numFmtId="0" fontId="46" fillId="5" borderId="0" xfId="0" applyFont="1" applyFill="1" applyAlignment="1"/>
    <xf numFmtId="0" fontId="47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170" fontId="5" fillId="0" borderId="0" xfId="0" applyNumberFormat="1" applyFont="1" applyAlignment="1"/>
    <xf numFmtId="0" fontId="44" fillId="5" borderId="0" xfId="0" applyFont="1" applyFill="1" applyAlignment="1"/>
    <xf numFmtId="0" fontId="42" fillId="5" borderId="0" xfId="0" applyFont="1" applyFill="1"/>
    <xf numFmtId="183" fontId="46" fillId="5" borderId="0" xfId="0" applyNumberFormat="1" applyFont="1" applyFill="1" applyAlignment="1"/>
    <xf numFmtId="170" fontId="7" fillId="0" borderId="0" xfId="0" applyNumberFormat="1" applyFont="1" applyAlignment="1"/>
    <xf numFmtId="0" fontId="38" fillId="5" borderId="23" xfId="0" applyFont="1" applyFill="1" applyBorder="1" applyAlignment="1"/>
    <xf numFmtId="184" fontId="12" fillId="5" borderId="23" xfId="0" applyNumberFormat="1" applyFont="1" applyFill="1" applyBorder="1" applyAlignment="1"/>
    <xf numFmtId="0" fontId="46" fillId="5" borderId="0" xfId="0" applyFont="1" applyFill="1" applyAlignment="1"/>
    <xf numFmtId="183" fontId="47" fillId="5" borderId="0" xfId="0" applyNumberFormat="1" applyFont="1" applyFill="1" applyAlignment="1"/>
    <xf numFmtId="184" fontId="12" fillId="5" borderId="23" xfId="0" applyNumberFormat="1" applyFont="1" applyFill="1" applyBorder="1" applyAlignment="1"/>
    <xf numFmtId="0" fontId="1" fillId="5" borderId="0" xfId="0" applyFont="1" applyFill="1" applyAlignment="1"/>
    <xf numFmtId="0" fontId="7" fillId="5" borderId="0" xfId="0" applyFont="1" applyFill="1" applyAlignment="1">
      <alignment horizontal="center"/>
    </xf>
    <xf numFmtId="183" fontId="7" fillId="5" borderId="0" xfId="0" applyNumberFormat="1" applyFont="1" applyFill="1" applyAlignment="1"/>
    <xf numFmtId="0" fontId="7" fillId="0" borderId="0" xfId="0" applyFont="1" applyAlignment="1"/>
    <xf numFmtId="170" fontId="1" fillId="5" borderId="0" xfId="0" applyNumberFormat="1" applyFont="1" applyFill="1" applyAlignment="1"/>
    <xf numFmtId="3" fontId="1" fillId="0" borderId="0" xfId="0" applyNumberFormat="1" applyFont="1" applyAlignment="1"/>
    <xf numFmtId="0" fontId="9" fillId="5" borderId="0" xfId="0" applyFont="1" applyFill="1" applyAlignment="1"/>
    <xf numFmtId="0" fontId="9" fillId="5" borderId="0" xfId="0" applyFont="1" applyFill="1" applyAlignment="1"/>
    <xf numFmtId="0" fontId="41" fillId="5" borderId="0" xfId="0" applyFont="1" applyFill="1" applyAlignment="1"/>
    <xf numFmtId="0" fontId="1" fillId="5" borderId="112" xfId="0" applyFont="1" applyFill="1" applyBorder="1" applyAlignment="1"/>
    <xf numFmtId="0" fontId="41" fillId="0" borderId="0" xfId="0" applyFont="1" applyAlignment="1"/>
    <xf numFmtId="0" fontId="7" fillId="5" borderId="95" xfId="0" applyFont="1" applyFill="1" applyBorder="1" applyAlignment="1">
      <alignment horizontal="center"/>
    </xf>
    <xf numFmtId="0" fontId="7" fillId="5" borderId="6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13" xfId="0" applyFont="1" applyFill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5" borderId="98" xfId="0" applyFont="1" applyFill="1" applyBorder="1" applyAlignment="1">
      <alignment horizontal="center"/>
    </xf>
    <xf numFmtId="0" fontId="7" fillId="5" borderId="98" xfId="0" applyFont="1" applyFill="1" applyBorder="1" applyAlignment="1"/>
    <xf numFmtId="185" fontId="5" fillId="5" borderId="17" xfId="0" applyNumberFormat="1" applyFont="1" applyFill="1" applyBorder="1" applyAlignment="1"/>
    <xf numFmtId="0" fontId="5" fillId="5" borderId="101" xfId="0" applyFont="1" applyFill="1" applyBorder="1" applyAlignment="1">
      <alignment horizontal="center"/>
    </xf>
    <xf numFmtId="186" fontId="1" fillId="5" borderId="98" xfId="0" applyNumberFormat="1" applyFont="1" applyFill="1" applyBorder="1" applyAlignment="1">
      <alignment horizontal="center"/>
    </xf>
    <xf numFmtId="1" fontId="1" fillId="5" borderId="99" xfId="0" applyNumberFormat="1" applyFont="1" applyFill="1" applyBorder="1" applyAlignment="1">
      <alignment horizontal="center"/>
    </xf>
    <xf numFmtId="177" fontId="1" fillId="0" borderId="81" xfId="0" applyNumberFormat="1" applyFont="1" applyBorder="1" applyAlignment="1"/>
    <xf numFmtId="187" fontId="1" fillId="0" borderId="81" xfId="0" applyNumberFormat="1" applyFont="1" applyBorder="1" applyAlignment="1"/>
    <xf numFmtId="0" fontId="7" fillId="5" borderId="77" xfId="0" applyFont="1" applyFill="1" applyBorder="1" applyAlignment="1">
      <alignment horizontal="center"/>
    </xf>
    <xf numFmtId="0" fontId="7" fillId="5" borderId="77" xfId="0" applyFont="1" applyFill="1" applyBorder="1" applyAlignment="1"/>
    <xf numFmtId="0" fontId="5" fillId="5" borderId="54" xfId="0" applyFont="1" applyFill="1" applyBorder="1" applyAlignment="1">
      <alignment horizontal="center"/>
    </xf>
    <xf numFmtId="186" fontId="1" fillId="5" borderId="77" xfId="0" applyNumberFormat="1" applyFont="1" applyFill="1" applyBorder="1" applyAlignment="1">
      <alignment horizontal="center"/>
    </xf>
    <xf numFmtId="1" fontId="1" fillId="5" borderId="78" xfId="0" applyNumberFormat="1" applyFont="1" applyFill="1" applyBorder="1" applyAlignment="1">
      <alignment horizontal="center"/>
    </xf>
    <xf numFmtId="188" fontId="1" fillId="5" borderId="77" xfId="0" applyNumberFormat="1" applyFont="1" applyFill="1" applyBorder="1" applyAlignment="1">
      <alignment horizontal="center"/>
    </xf>
    <xf numFmtId="189" fontId="1" fillId="5" borderId="78" xfId="0" applyNumberFormat="1" applyFont="1" applyFill="1" applyBorder="1" applyAlignment="1">
      <alignment horizontal="center"/>
    </xf>
    <xf numFmtId="185" fontId="5" fillId="5" borderId="82" xfId="0" applyNumberFormat="1" applyFont="1" applyFill="1" applyBorder="1" applyAlignment="1"/>
    <xf numFmtId="0" fontId="5" fillId="5" borderId="106" xfId="0" applyFont="1" applyFill="1" applyBorder="1" applyAlignment="1">
      <alignment horizontal="center"/>
    </xf>
    <xf numFmtId="188" fontId="1" fillId="5" borderId="114" xfId="0" applyNumberFormat="1" applyFont="1" applyFill="1" applyBorder="1" applyAlignment="1">
      <alignment horizontal="center"/>
    </xf>
    <xf numFmtId="189" fontId="1" fillId="5" borderId="89" xfId="0" applyNumberFormat="1" applyFont="1" applyFill="1" applyBorder="1" applyAlignment="1">
      <alignment horizontal="center"/>
    </xf>
    <xf numFmtId="177" fontId="1" fillId="0" borderId="84" xfId="0" applyNumberFormat="1" applyFont="1" applyBorder="1" applyAlignment="1"/>
    <xf numFmtId="187" fontId="1" fillId="0" borderId="84" xfId="0" applyNumberFormat="1" applyFont="1" applyBorder="1" applyAlignment="1"/>
    <xf numFmtId="0" fontId="7" fillId="5" borderId="108" xfId="0" applyFont="1" applyFill="1" applyBorder="1" applyAlignment="1">
      <alignment horizontal="center"/>
    </xf>
    <xf numFmtId="167" fontId="16" fillId="5" borderId="108" xfId="0" applyNumberFormat="1" applyFont="1" applyFill="1" applyBorder="1" applyAlignment="1"/>
    <xf numFmtId="0" fontId="9" fillId="5" borderId="108" xfId="0" applyFont="1" applyFill="1" applyBorder="1" applyAlignment="1">
      <alignment horizontal="center"/>
    </xf>
    <xf numFmtId="1" fontId="7" fillId="5" borderId="108" xfId="0" applyNumberFormat="1" applyFont="1" applyFill="1" applyBorder="1" applyAlignment="1">
      <alignment horizontal="center"/>
    </xf>
    <xf numFmtId="2" fontId="7" fillId="0" borderId="108" xfId="0" applyNumberFormat="1" applyFont="1" applyBorder="1" applyAlignment="1">
      <alignment horizontal="center"/>
    </xf>
    <xf numFmtId="175" fontId="9" fillId="0" borderId="108" xfId="0" applyNumberFormat="1" applyFont="1" applyBorder="1" applyAlignment="1"/>
    <xf numFmtId="175" fontId="1" fillId="0" borderId="0" xfId="0" applyNumberFormat="1" applyFont="1" applyAlignment="1"/>
    <xf numFmtId="0" fontId="5" fillId="5" borderId="115" xfId="0" applyFont="1" applyFill="1" applyBorder="1" applyAlignment="1"/>
    <xf numFmtId="184" fontId="12" fillId="5" borderId="0" xfId="0" applyNumberFormat="1" applyFont="1" applyFill="1" applyAlignment="1"/>
    <xf numFmtId="0" fontId="7" fillId="5" borderId="23" xfId="0" applyFont="1" applyFill="1" applyBorder="1" applyAlignment="1">
      <alignment vertical="center" wrapText="1"/>
    </xf>
    <xf numFmtId="9" fontId="7" fillId="5" borderId="80" xfId="0" applyNumberFormat="1" applyFont="1" applyFill="1" applyBorder="1" applyAlignment="1">
      <alignment horizontal="center" vertical="center"/>
    </xf>
    <xf numFmtId="0" fontId="9" fillId="5" borderId="48" xfId="0" applyFont="1" applyFill="1" applyBorder="1" applyAlignment="1"/>
    <xf numFmtId="184" fontId="1" fillId="5" borderId="48" xfId="0" applyNumberFormat="1" applyFont="1" applyFill="1" applyBorder="1" applyAlignment="1"/>
    <xf numFmtId="1" fontId="7" fillId="5" borderId="23" xfId="0" applyNumberFormat="1" applyFont="1" applyFill="1" applyBorder="1" applyAlignment="1">
      <alignment horizontal="center"/>
    </xf>
    <xf numFmtId="1" fontId="1" fillId="5" borderId="0" xfId="0" applyNumberFormat="1" applyFont="1" applyFill="1" applyAlignment="1"/>
    <xf numFmtId="167" fontId="9" fillId="0" borderId="23" xfId="0" applyNumberFormat="1" applyFont="1" applyBorder="1" applyAlignment="1"/>
    <xf numFmtId="0" fontId="49" fillId="5" borderId="0" xfId="0" applyFont="1" applyFill="1" applyAlignment="1"/>
    <xf numFmtId="0" fontId="1" fillId="5" borderId="17" xfId="0" applyFont="1" applyFill="1" applyBorder="1" applyAlignment="1"/>
    <xf numFmtId="0" fontId="1" fillId="5" borderId="0" xfId="0" applyFont="1" applyFill="1" applyAlignment="1">
      <alignment horizontal="center"/>
    </xf>
    <xf numFmtId="171" fontId="5" fillId="5" borderId="48" xfId="0" applyNumberFormat="1" applyFont="1" applyFill="1" applyBorder="1" applyAlignment="1"/>
    <xf numFmtId="171" fontId="16" fillId="5" borderId="0" xfId="0" applyNumberFormat="1" applyFont="1" applyFill="1"/>
    <xf numFmtId="171" fontId="5" fillId="5" borderId="56" xfId="0" applyNumberFormat="1" applyFont="1" applyFill="1" applyBorder="1" applyAlignment="1"/>
    <xf numFmtId="190" fontId="5" fillId="5" borderId="48" xfId="0" applyNumberFormat="1" applyFont="1" applyFill="1" applyBorder="1" applyAlignment="1"/>
    <xf numFmtId="190" fontId="5" fillId="5" borderId="56" xfId="0" applyNumberFormat="1" applyFont="1" applyFill="1" applyBorder="1" applyAlignment="1"/>
    <xf numFmtId="0" fontId="41" fillId="5" borderId="0" xfId="0" applyFont="1" applyFill="1" applyAlignment="1"/>
    <xf numFmtId="0" fontId="1" fillId="5" borderId="48" xfId="0" applyFont="1" applyFill="1" applyBorder="1" applyAlignment="1"/>
    <xf numFmtId="171" fontId="1" fillId="5" borderId="48" xfId="0" applyNumberFormat="1" applyFont="1" applyFill="1" applyBorder="1" applyAlignment="1"/>
    <xf numFmtId="167" fontId="1" fillId="5" borderId="0" xfId="0" applyNumberFormat="1" applyFont="1" applyFill="1" applyAlignment="1"/>
    <xf numFmtId="167" fontId="1" fillId="5" borderId="23" xfId="0" applyNumberFormat="1" applyFont="1" applyFill="1" applyBorder="1" applyAlignment="1">
      <alignment horizontal="left"/>
    </xf>
    <xf numFmtId="0" fontId="1" fillId="5" borderId="23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190" fontId="1" fillId="5" borderId="48" xfId="0" applyNumberFormat="1" applyFont="1" applyFill="1" applyBorder="1" applyAlignment="1"/>
    <xf numFmtId="4" fontId="1" fillId="5" borderId="48" xfId="0" applyNumberFormat="1" applyFont="1" applyFill="1" applyBorder="1" applyAlignment="1"/>
    <xf numFmtId="0" fontId="21" fillId="0" borderId="23" xfId="0" applyFont="1" applyBorder="1" applyAlignment="1">
      <alignment horizontal="left"/>
    </xf>
    <xf numFmtId="4" fontId="21" fillId="0" borderId="23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21" fillId="0" borderId="0" xfId="0" applyFont="1" applyAlignment="1"/>
    <xf numFmtId="3" fontId="21" fillId="0" borderId="0" xfId="0" applyNumberFormat="1" applyFont="1" applyAlignment="1">
      <alignment horizontal="right"/>
    </xf>
    <xf numFmtId="0" fontId="21" fillId="0" borderId="23" xfId="0" applyFont="1" applyBorder="1" applyAlignment="1">
      <alignment horizontal="left"/>
    </xf>
    <xf numFmtId="0" fontId="1" fillId="5" borderId="69" xfId="0" applyFont="1" applyFill="1" applyBorder="1" applyAlignment="1"/>
    <xf numFmtId="170" fontId="1" fillId="5" borderId="69" xfId="0" applyNumberFormat="1" applyFont="1" applyFill="1" applyBorder="1" applyAlignment="1"/>
    <xf numFmtId="0" fontId="1" fillId="5" borderId="116" xfId="0" applyFont="1" applyFill="1" applyBorder="1" applyAlignment="1"/>
    <xf numFmtId="190" fontId="1" fillId="5" borderId="116" xfId="0" applyNumberFormat="1" applyFont="1" applyFill="1" applyBorder="1" applyAlignment="1"/>
    <xf numFmtId="0" fontId="12" fillId="5" borderId="0" xfId="0" applyFont="1" applyFill="1" applyAlignment="1"/>
    <xf numFmtId="167" fontId="12" fillId="5" borderId="0" xfId="0" applyNumberFormat="1" applyFont="1" applyFill="1" applyAlignment="1"/>
    <xf numFmtId="0" fontId="50" fillId="5" borderId="0" xfId="0" applyFont="1" applyFill="1" applyAlignment="1">
      <alignment vertical="top"/>
    </xf>
    <xf numFmtId="0" fontId="12" fillId="5" borderId="23" xfId="0" applyFont="1" applyFill="1" applyBorder="1" applyAlignment="1"/>
    <xf numFmtId="167" fontId="12" fillId="5" borderId="23" xfId="0" applyNumberFormat="1" applyFont="1" applyFill="1" applyBorder="1" applyAlignment="1"/>
    <xf numFmtId="0" fontId="3" fillId="5" borderId="23" xfId="0" applyFont="1" applyFill="1" applyBorder="1" applyAlignment="1">
      <alignment horizontal="center"/>
    </xf>
    <xf numFmtId="167" fontId="3" fillId="5" borderId="23" xfId="0" applyNumberFormat="1" applyFont="1" applyFill="1" applyBorder="1" applyAlignment="1"/>
    <xf numFmtId="0" fontId="9" fillId="5" borderId="25" xfId="0" applyFont="1" applyFill="1" applyBorder="1" applyAlignment="1"/>
    <xf numFmtId="170" fontId="1" fillId="5" borderId="26" xfId="0" applyNumberFormat="1" applyFont="1" applyFill="1" applyBorder="1" applyAlignment="1"/>
    <xf numFmtId="0" fontId="51" fillId="5" borderId="3" xfId="0" applyFont="1" applyFill="1" applyBorder="1" applyAlignment="1">
      <alignment horizontal="center"/>
    </xf>
    <xf numFmtId="0" fontId="51" fillId="5" borderId="7" xfId="0" applyFont="1" applyFill="1" applyBorder="1" applyAlignment="1">
      <alignment horizontal="center"/>
    </xf>
    <xf numFmtId="0" fontId="0" fillId="5" borderId="76" xfId="0" applyFont="1" applyFill="1" applyBorder="1" applyAlignment="1"/>
    <xf numFmtId="167" fontId="0" fillId="5" borderId="100" xfId="0" applyNumberFormat="1" applyFont="1" applyFill="1" applyBorder="1" applyAlignment="1"/>
    <xf numFmtId="0" fontId="0" fillId="5" borderId="78" xfId="0" applyFont="1" applyFill="1" applyBorder="1" applyAlignment="1"/>
    <xf numFmtId="167" fontId="0" fillId="5" borderId="93" xfId="0" applyNumberFormat="1" applyFont="1" applyFill="1" applyBorder="1" applyAlignment="1"/>
    <xf numFmtId="167" fontId="16" fillId="5" borderId="117" xfId="0" applyNumberFormat="1" applyFont="1" applyFill="1" applyBorder="1"/>
    <xf numFmtId="0" fontId="0" fillId="5" borderId="51" xfId="0" applyFont="1" applyFill="1" applyBorder="1" applyAlignment="1"/>
    <xf numFmtId="167" fontId="0" fillId="5" borderId="94" xfId="0" applyNumberFormat="1" applyFont="1" applyFill="1" applyBorder="1" applyAlignment="1"/>
    <xf numFmtId="167" fontId="0" fillId="5" borderId="88" xfId="0" applyNumberFormat="1" applyFont="1" applyFill="1" applyBorder="1" applyAlignment="1"/>
    <xf numFmtId="0" fontId="51" fillId="5" borderId="66" xfId="0" applyFont="1" applyFill="1" applyBorder="1" applyAlignment="1">
      <alignment horizontal="center"/>
    </xf>
    <xf numFmtId="167" fontId="51" fillId="5" borderId="66" xfId="0" applyNumberFormat="1" applyFont="1" applyFill="1" applyBorder="1" applyAlignment="1"/>
    <xf numFmtId="0" fontId="0" fillId="5" borderId="0" xfId="0" applyFont="1" applyFill="1" applyAlignment="1"/>
    <xf numFmtId="167" fontId="0" fillId="5" borderId="0" xfId="0" applyNumberFormat="1" applyFont="1" applyFill="1" applyAlignment="1"/>
    <xf numFmtId="191" fontId="1" fillId="5" borderId="0" xfId="0" applyNumberFormat="1" applyFont="1" applyFill="1" applyAlignment="1"/>
    <xf numFmtId="0" fontId="1" fillId="5" borderId="48" xfId="0" applyFont="1" applyFill="1" applyBorder="1" applyAlignment="1"/>
    <xf numFmtId="191" fontId="12" fillId="5" borderId="48" xfId="0" applyNumberFormat="1" applyFont="1" applyFill="1" applyBorder="1" applyAlignment="1">
      <alignment horizontal="center"/>
    </xf>
    <xf numFmtId="0" fontId="8" fillId="5" borderId="0" xfId="0" applyFont="1" applyFill="1"/>
    <xf numFmtId="191" fontId="12" fillId="5" borderId="69" xfId="0" applyNumberFormat="1" applyFont="1" applyFill="1" applyBorder="1" applyAlignment="1">
      <alignment horizontal="center"/>
    </xf>
    <xf numFmtId="191" fontId="3" fillId="5" borderId="23" xfId="0" applyNumberFormat="1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20" xfId="0" applyFont="1" applyBorder="1" applyAlignment="1"/>
    <xf numFmtId="170" fontId="12" fillId="0" borderId="44" xfId="0" applyNumberFormat="1" applyFont="1" applyBorder="1" applyAlignment="1">
      <alignment horizontal="center"/>
    </xf>
    <xf numFmtId="170" fontId="12" fillId="0" borderId="61" xfId="0" applyNumberFormat="1" applyFont="1" applyBorder="1" applyAlignment="1">
      <alignment horizontal="center"/>
    </xf>
    <xf numFmtId="170" fontId="12" fillId="0" borderId="46" xfId="0" applyNumberFormat="1" applyFont="1" applyBorder="1" applyAlignment="1">
      <alignment horizontal="center"/>
    </xf>
    <xf numFmtId="170" fontId="12" fillId="0" borderId="46" xfId="0" applyNumberFormat="1" applyFont="1" applyBorder="1" applyAlignment="1">
      <alignment horizontal="center"/>
    </xf>
    <xf numFmtId="0" fontId="12" fillId="0" borderId="120" xfId="0" applyFont="1" applyBorder="1" applyAlignment="1"/>
    <xf numFmtId="170" fontId="12" fillId="0" borderId="65" xfId="0" applyNumberFormat="1" applyFont="1" applyBorder="1" applyAlignment="1">
      <alignment horizontal="center"/>
    </xf>
    <xf numFmtId="170" fontId="3" fillId="0" borderId="46" xfId="0" applyNumberFormat="1" applyFont="1" applyBorder="1" applyAlignment="1">
      <alignment horizontal="center"/>
    </xf>
    <xf numFmtId="0" fontId="14" fillId="0" borderId="118" xfId="0" applyFont="1" applyBorder="1" applyAlignment="1">
      <alignment horizontal="left"/>
    </xf>
    <xf numFmtId="0" fontId="14" fillId="0" borderId="121" xfId="0" applyFont="1" applyBorder="1" applyAlignment="1">
      <alignment horizontal="left"/>
    </xf>
    <xf numFmtId="0" fontId="14" fillId="0" borderId="120" xfId="0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123" xfId="0" applyFont="1" applyBorder="1" applyAlignment="1"/>
    <xf numFmtId="170" fontId="12" fillId="0" borderId="124" xfId="0" applyNumberFormat="1" applyFont="1" applyBorder="1" applyAlignment="1">
      <alignment horizontal="center"/>
    </xf>
    <xf numFmtId="0" fontId="12" fillId="0" borderId="125" xfId="0" applyFont="1" applyBorder="1" applyAlignment="1"/>
    <xf numFmtId="170" fontId="12" fillId="0" borderId="64" xfId="0" applyNumberFormat="1" applyFont="1" applyBorder="1" applyAlignment="1">
      <alignment horizontal="center"/>
    </xf>
    <xf numFmtId="191" fontId="12" fillId="0" borderId="50" xfId="0" applyNumberFormat="1" applyFont="1" applyBorder="1" applyAlignment="1">
      <alignment horizontal="center"/>
    </xf>
    <xf numFmtId="173" fontId="12" fillId="0" borderId="50" xfId="0" applyNumberFormat="1" applyFont="1" applyBorder="1" applyAlignment="1">
      <alignment horizontal="center"/>
    </xf>
    <xf numFmtId="173" fontId="12" fillId="0" borderId="126" xfId="0" applyNumberFormat="1" applyFont="1" applyBorder="1" applyAlignment="1"/>
    <xf numFmtId="0" fontId="12" fillId="0" borderId="127" xfId="0" applyFont="1" applyBorder="1" applyAlignment="1"/>
    <xf numFmtId="170" fontId="12" fillId="0" borderId="41" xfId="0" applyNumberFormat="1" applyFont="1" applyBorder="1" applyAlignment="1">
      <alignment horizontal="center"/>
    </xf>
    <xf numFmtId="0" fontId="20" fillId="0" borderId="0" xfId="0" applyFont="1" applyAlignment="1"/>
    <xf numFmtId="0" fontId="3" fillId="0" borderId="125" xfId="0" applyFont="1" applyBorder="1" applyAlignment="1"/>
    <xf numFmtId="170" fontId="3" fillId="0" borderId="64" xfId="0" applyNumberFormat="1" applyFont="1" applyBorder="1" applyAlignment="1">
      <alignment horizontal="center"/>
    </xf>
    <xf numFmtId="0" fontId="21" fillId="0" borderId="48" xfId="0" applyFont="1" applyBorder="1" applyAlignment="1"/>
    <xf numFmtId="0" fontId="21" fillId="0" borderId="48" xfId="0" applyFont="1" applyBorder="1" applyAlignment="1">
      <alignment horizontal="center"/>
    </xf>
    <xf numFmtId="0" fontId="21" fillId="0" borderId="48" xfId="0" applyFont="1" applyBorder="1" applyAlignment="1"/>
    <xf numFmtId="0" fontId="21" fillId="0" borderId="48" xfId="0" applyFont="1" applyBorder="1" applyAlignment="1">
      <alignment horizontal="right"/>
    </xf>
    <xf numFmtId="170" fontId="12" fillId="5" borderId="46" xfId="0" applyNumberFormat="1" applyFont="1" applyFill="1" applyBorder="1" applyAlignment="1">
      <alignment horizontal="center"/>
    </xf>
    <xf numFmtId="0" fontId="12" fillId="5" borderId="0" xfId="0" applyFont="1" applyFill="1" applyAlignment="1"/>
    <xf numFmtId="0" fontId="20" fillId="11" borderId="48" xfId="0" applyFont="1" applyFill="1" applyBorder="1" applyAlignment="1"/>
    <xf numFmtId="0" fontId="21" fillId="11" borderId="48" xfId="0" applyFont="1" applyFill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0" fontId="3" fillId="0" borderId="125" xfId="0" applyFont="1" applyBorder="1" applyAlignment="1">
      <alignment horizontal="left"/>
    </xf>
    <xf numFmtId="170" fontId="12" fillId="0" borderId="64" xfId="0" applyNumberFormat="1" applyFont="1" applyBorder="1" applyAlignment="1">
      <alignment horizontal="center"/>
    </xf>
    <xf numFmtId="0" fontId="3" fillId="0" borderId="125" xfId="0" applyFont="1" applyBorder="1" applyAlignment="1"/>
    <xf numFmtId="0" fontId="3" fillId="0" borderId="128" xfId="0" applyFont="1" applyBorder="1" applyAlignment="1"/>
    <xf numFmtId="170" fontId="3" fillId="0" borderId="129" xfId="0" applyNumberFormat="1" applyFont="1" applyBorder="1" applyAlignment="1">
      <alignment horizontal="center"/>
    </xf>
    <xf numFmtId="170" fontId="3" fillId="0" borderId="41" xfId="0" applyNumberFormat="1" applyFont="1" applyBorder="1" applyAlignment="1">
      <alignment horizontal="center"/>
    </xf>
    <xf numFmtId="0" fontId="20" fillId="12" borderId="48" xfId="0" applyFont="1" applyFill="1" applyBorder="1" applyAlignment="1"/>
    <xf numFmtId="0" fontId="21" fillId="12" borderId="48" xfId="0" applyFont="1" applyFill="1" applyBorder="1" applyAlignment="1">
      <alignment horizontal="right"/>
    </xf>
    <xf numFmtId="0" fontId="14" fillId="0" borderId="130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0" fontId="12" fillId="0" borderId="132" xfId="0" applyNumberFormat="1" applyFont="1" applyBorder="1" applyAlignment="1">
      <alignment horizontal="center"/>
    </xf>
    <xf numFmtId="170" fontId="12" fillId="0" borderId="23" xfId="0" applyNumberFormat="1" applyFont="1" applyBorder="1" applyAlignment="1">
      <alignment horizontal="center"/>
    </xf>
    <xf numFmtId="170" fontId="12" fillId="0" borderId="133" xfId="0" applyNumberFormat="1" applyFont="1" applyBorder="1" applyAlignment="1">
      <alignment horizontal="center"/>
    </xf>
    <xf numFmtId="0" fontId="12" fillId="0" borderId="134" xfId="0" applyFont="1" applyBorder="1" applyAlignment="1"/>
    <xf numFmtId="170" fontId="12" fillId="0" borderId="50" xfId="0" applyNumberFormat="1" applyFont="1" applyBorder="1" applyAlignment="1">
      <alignment horizontal="center"/>
    </xf>
    <xf numFmtId="170" fontId="12" fillId="0" borderId="135" xfId="0" applyNumberFormat="1" applyFont="1" applyBorder="1" applyAlignment="1">
      <alignment horizontal="center"/>
    </xf>
    <xf numFmtId="170" fontId="3" fillId="0" borderId="23" xfId="0" applyNumberFormat="1" applyFont="1" applyBorder="1" applyAlignment="1">
      <alignment horizontal="center"/>
    </xf>
    <xf numFmtId="0" fontId="12" fillId="0" borderId="136" xfId="0" applyFont="1" applyBorder="1" applyAlignment="1"/>
    <xf numFmtId="170" fontId="12" fillId="0" borderId="133" xfId="0" applyNumberFormat="1" applyFont="1" applyBorder="1" applyAlignment="1">
      <alignment horizontal="center"/>
    </xf>
    <xf numFmtId="0" fontId="3" fillId="0" borderId="13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123" xfId="0" applyFont="1" applyBorder="1" applyAlignment="1">
      <alignment horizontal="center"/>
    </xf>
    <xf numFmtId="191" fontId="8" fillId="0" borderId="0" xfId="0" applyNumberFormat="1" applyFont="1" applyAlignment="1"/>
    <xf numFmtId="170" fontId="12" fillId="0" borderId="44" xfId="0" applyNumberFormat="1" applyFont="1" applyBorder="1" applyAlignment="1">
      <alignment horizontal="center"/>
    </xf>
    <xf numFmtId="170" fontId="52" fillId="5" borderId="0" xfId="0" applyNumberFormat="1" applyFont="1" applyFill="1"/>
    <xf numFmtId="170" fontId="53" fillId="5" borderId="137" xfId="0" applyNumberFormat="1" applyFont="1" applyFill="1" applyBorder="1"/>
    <xf numFmtId="0" fontId="3" fillId="0" borderId="125" xfId="0" applyFont="1" applyBorder="1" applyAlignment="1">
      <alignment horizontal="center"/>
    </xf>
    <xf numFmtId="191" fontId="12" fillId="0" borderId="64" xfId="0" applyNumberFormat="1" applyFont="1" applyBorder="1" applyAlignment="1">
      <alignment horizontal="center"/>
    </xf>
    <xf numFmtId="170" fontId="0" fillId="0" borderId="46" xfId="0" applyNumberFormat="1" applyFont="1" applyBorder="1" applyAlignment="1">
      <alignment horizontal="center"/>
    </xf>
    <xf numFmtId="170" fontId="21" fillId="5" borderId="1" xfId="0" applyNumberFormat="1" applyFont="1" applyFill="1" applyBorder="1" applyAlignment="1">
      <alignment horizontal="center"/>
    </xf>
    <xf numFmtId="170" fontId="16" fillId="5" borderId="137" xfId="0" applyNumberFormat="1" applyFont="1" applyFill="1" applyBorder="1"/>
    <xf numFmtId="170" fontId="16" fillId="5" borderId="0" xfId="0" applyNumberFormat="1" applyFont="1" applyFill="1"/>
    <xf numFmtId="0" fontId="3" fillId="0" borderId="128" xfId="0" applyFont="1" applyBorder="1" applyAlignment="1">
      <alignment horizontal="center"/>
    </xf>
    <xf numFmtId="170" fontId="3" fillId="0" borderId="129" xfId="0" applyNumberFormat="1" applyFont="1" applyBorder="1" applyAlignment="1">
      <alignment horizontal="center"/>
    </xf>
    <xf numFmtId="170" fontId="3" fillId="0" borderId="131" xfId="0" applyNumberFormat="1" applyFont="1" applyBorder="1" applyAlignment="1">
      <alignment horizontal="center"/>
    </xf>
    <xf numFmtId="170" fontId="3" fillId="0" borderId="42" xfId="0" applyNumberFormat="1" applyFont="1" applyBorder="1" applyAlignment="1">
      <alignment horizontal="center"/>
    </xf>
    <xf numFmtId="170" fontId="12" fillId="0" borderId="138" xfId="0" applyNumberFormat="1" applyFont="1" applyBorder="1" applyAlignment="1"/>
    <xf numFmtId="2" fontId="54" fillId="5" borderId="0" xfId="0" applyNumberFormat="1" applyFont="1" applyFill="1"/>
    <xf numFmtId="0" fontId="12" fillId="0" borderId="0" xfId="0" applyFont="1" applyAlignment="1"/>
    <xf numFmtId="9" fontId="12" fillId="0" borderId="139" xfId="0" applyNumberFormat="1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140" xfId="0" applyFont="1" applyFill="1" applyBorder="1" applyAlignment="1"/>
    <xf numFmtId="0" fontId="12" fillId="0" borderId="140" xfId="0" applyFont="1" applyBorder="1" applyAlignment="1">
      <alignment horizontal="center"/>
    </xf>
    <xf numFmtId="0" fontId="55" fillId="5" borderId="0" xfId="0" applyFont="1" applyFill="1" applyAlignment="1"/>
    <xf numFmtId="0" fontId="3" fillId="0" borderId="54" xfId="0" applyFont="1" applyBorder="1" applyAlignment="1"/>
    <xf numFmtId="0" fontId="12" fillId="0" borderId="53" xfId="0" applyFont="1" applyBorder="1" applyAlignment="1"/>
    <xf numFmtId="0" fontId="12" fillId="0" borderId="141" xfId="0" applyFont="1" applyBorder="1" applyAlignment="1"/>
    <xf numFmtId="191" fontId="12" fillId="0" borderId="0" xfId="0" applyNumberFormat="1" applyFont="1" applyAlignment="1"/>
    <xf numFmtId="0" fontId="12" fillId="0" borderId="48" xfId="0" applyFont="1" applyBorder="1" applyAlignment="1"/>
    <xf numFmtId="0" fontId="12" fillId="0" borderId="26" xfId="0" applyFont="1" applyBorder="1" applyAlignment="1"/>
    <xf numFmtId="170" fontId="55" fillId="5" borderId="48" xfId="0" applyNumberFormat="1" applyFont="1" applyFill="1" applyBorder="1" applyAlignment="1"/>
    <xf numFmtId="0" fontId="12" fillId="0" borderId="48" xfId="0" applyFont="1" applyBorder="1" applyAlignment="1"/>
    <xf numFmtId="0" fontId="3" fillId="0" borderId="46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77" fontId="12" fillId="0" borderId="46" xfId="0" applyNumberFormat="1" applyFont="1" applyBorder="1" applyAlignment="1">
      <alignment horizontal="center"/>
    </xf>
    <xf numFmtId="177" fontId="16" fillId="5" borderId="0" xfId="0" applyNumberFormat="1" applyFont="1" applyFill="1"/>
    <xf numFmtId="170" fontId="12" fillId="0" borderId="65" xfId="0" applyNumberFormat="1" applyFont="1" applyBorder="1" applyAlignment="1"/>
    <xf numFmtId="170" fontId="0" fillId="0" borderId="46" xfId="0" applyNumberFormat="1" applyFont="1" applyBorder="1" applyAlignment="1">
      <alignment horizontal="center"/>
    </xf>
    <xf numFmtId="170" fontId="0" fillId="0" borderId="65" xfId="0" applyNumberFormat="1" applyFont="1" applyBorder="1" applyAlignment="1">
      <alignment horizontal="center"/>
    </xf>
    <xf numFmtId="0" fontId="0" fillId="0" borderId="45" xfId="0" applyFont="1" applyBorder="1" applyAlignment="1"/>
    <xf numFmtId="0" fontId="0" fillId="0" borderId="0" xfId="0" applyFont="1" applyAlignment="1"/>
    <xf numFmtId="191" fontId="3" fillId="0" borderId="45" xfId="0" applyNumberFormat="1" applyFont="1" applyBorder="1" applyAlignment="1"/>
    <xf numFmtId="191" fontId="3" fillId="0" borderId="46" xfId="0" applyNumberFormat="1" applyFont="1" applyBorder="1" applyAlignment="1">
      <alignment horizontal="center"/>
    </xf>
    <xf numFmtId="0" fontId="3" fillId="0" borderId="49" xfId="0" applyFont="1" applyBorder="1" applyAlignment="1"/>
    <xf numFmtId="10" fontId="12" fillId="0" borderId="50" xfId="0" applyNumberFormat="1" applyFont="1" applyBorder="1" applyAlignment="1">
      <alignment horizontal="center"/>
    </xf>
    <xf numFmtId="10" fontId="12" fillId="0" borderId="41" xfId="0" applyNumberFormat="1" applyFont="1" applyBorder="1" applyAlignment="1">
      <alignment horizontal="center"/>
    </xf>
    <xf numFmtId="0" fontId="12" fillId="0" borderId="36" xfId="0" applyFont="1" applyBorder="1" applyAlignment="1"/>
    <xf numFmtId="0" fontId="3" fillId="0" borderId="133" xfId="0" applyFont="1" applyBorder="1" applyAlignment="1">
      <alignment horizontal="center"/>
    </xf>
    <xf numFmtId="0" fontId="20" fillId="5" borderId="48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31" xfId="0" applyFont="1" applyBorder="1" applyAlignment="1">
      <alignment horizontal="center"/>
    </xf>
    <xf numFmtId="0" fontId="21" fillId="5" borderId="48" xfId="0" applyFont="1" applyFill="1" applyBorder="1" applyAlignment="1">
      <alignment horizontal="center"/>
    </xf>
    <xf numFmtId="191" fontId="21" fillId="5" borderId="48" xfId="0" applyNumberFormat="1" applyFont="1" applyFill="1" applyBorder="1" applyAlignment="1">
      <alignment horizontal="center"/>
    </xf>
    <xf numFmtId="0" fontId="12" fillId="0" borderId="45" xfId="0" applyFont="1" applyBorder="1" applyAlignment="1"/>
    <xf numFmtId="170" fontId="12" fillId="0" borderId="0" xfId="0" applyNumberFormat="1" applyFont="1" applyAlignment="1"/>
    <xf numFmtId="170" fontId="0" fillId="0" borderId="0" xfId="0" applyNumberFormat="1" applyFont="1" applyAlignment="1"/>
    <xf numFmtId="191" fontId="21" fillId="5" borderId="48" xfId="0" applyNumberFormat="1" applyFont="1" applyFill="1" applyBorder="1" applyAlignment="1"/>
    <xf numFmtId="170" fontId="0" fillId="0" borderId="46" xfId="0" applyNumberFormat="1" applyFont="1" applyBorder="1" applyAlignment="1"/>
    <xf numFmtId="191" fontId="21" fillId="5" borderId="48" xfId="0" applyNumberFormat="1" applyFont="1" applyFill="1" applyBorder="1" applyAlignment="1">
      <alignment horizontal="center"/>
    </xf>
    <xf numFmtId="0" fontId="56" fillId="0" borderId="0" xfId="0" applyFont="1" applyAlignment="1"/>
    <xf numFmtId="170" fontId="0" fillId="0" borderId="133" xfId="0" applyNumberFormat="1" applyFont="1" applyBorder="1" applyAlignment="1">
      <alignment horizontal="center"/>
    </xf>
    <xf numFmtId="182" fontId="12" fillId="0" borderId="0" xfId="0" applyNumberFormat="1" applyFont="1" applyAlignment="1">
      <alignment horizontal="center"/>
    </xf>
    <xf numFmtId="182" fontId="3" fillId="0" borderId="55" xfId="0" applyNumberFormat="1" applyFont="1" applyBorder="1" applyAlignment="1">
      <alignment horizontal="center"/>
    </xf>
    <xf numFmtId="182" fontId="3" fillId="0" borderId="57" xfId="0" applyNumberFormat="1" applyFont="1" applyBorder="1" applyAlignment="1">
      <alignment horizontal="center"/>
    </xf>
    <xf numFmtId="170" fontId="3" fillId="0" borderId="44" xfId="0" applyNumberFormat="1" applyFont="1" applyBorder="1" applyAlignment="1">
      <alignment horizontal="center"/>
    </xf>
    <xf numFmtId="170" fontId="12" fillId="0" borderId="126" xfId="0" applyNumberFormat="1" applyFont="1" applyBorder="1" applyAlignment="1">
      <alignment horizontal="center"/>
    </xf>
    <xf numFmtId="9" fontId="3" fillId="0" borderId="50" xfId="0" applyNumberFormat="1" applyFont="1" applyBorder="1" applyAlignment="1">
      <alignment horizontal="center"/>
    </xf>
    <xf numFmtId="9" fontId="3" fillId="0" borderId="41" xfId="0" applyNumberFormat="1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0" fontId="12" fillId="0" borderId="55" xfId="0" applyNumberFormat="1" applyFont="1" applyBorder="1" applyAlignment="1">
      <alignment horizontal="center"/>
    </xf>
    <xf numFmtId="170" fontId="0" fillId="5" borderId="46" xfId="0" applyNumberFormat="1" applyFont="1" applyFill="1" applyBorder="1" applyAlignment="1">
      <alignment horizontal="center"/>
    </xf>
    <xf numFmtId="173" fontId="12" fillId="0" borderId="46" xfId="0" applyNumberFormat="1" applyFont="1" applyBorder="1" applyAlignment="1">
      <alignment horizontal="center"/>
    </xf>
    <xf numFmtId="173" fontId="12" fillId="0" borderId="65" xfId="0" applyNumberFormat="1" applyFont="1" applyBorder="1" applyAlignment="1"/>
    <xf numFmtId="170" fontId="3" fillId="0" borderId="65" xfId="0" applyNumberFormat="1" applyFont="1" applyBorder="1" applyAlignment="1">
      <alignment horizontal="center"/>
    </xf>
    <xf numFmtId="9" fontId="3" fillId="0" borderId="46" xfId="0" applyNumberFormat="1" applyFont="1" applyBorder="1" applyAlignment="1">
      <alignment horizontal="center"/>
    </xf>
    <xf numFmtId="0" fontId="0" fillId="5" borderId="45" xfId="0" applyFont="1" applyFill="1" applyBorder="1" applyAlignment="1"/>
    <xf numFmtId="9" fontId="3" fillId="0" borderId="46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184" fontId="12" fillId="0" borderId="46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9" fontId="12" fillId="0" borderId="46" xfId="0" applyNumberFormat="1" applyFont="1" applyBorder="1" applyAlignment="1"/>
    <xf numFmtId="9" fontId="12" fillId="0" borderId="65" xfId="0" applyNumberFormat="1" applyFont="1" applyBorder="1" applyAlignment="1"/>
    <xf numFmtId="191" fontId="12" fillId="0" borderId="46" xfId="0" applyNumberFormat="1" applyFont="1" applyBorder="1" applyAlignment="1"/>
    <xf numFmtId="170" fontId="54" fillId="5" borderId="0" xfId="0" applyNumberFormat="1" applyFont="1" applyFill="1"/>
    <xf numFmtId="170" fontId="12" fillId="0" borderId="42" xfId="0" applyNumberFormat="1" applyFont="1" applyBorder="1" applyAlignment="1"/>
    <xf numFmtId="0" fontId="14" fillId="0" borderId="0" xfId="0" applyFont="1" applyAlignment="1"/>
    <xf numFmtId="0" fontId="58" fillId="0" borderId="26" xfId="0" applyFont="1" applyBorder="1" applyAlignment="1">
      <alignment horizontal="center"/>
    </xf>
    <xf numFmtId="0" fontId="58" fillId="0" borderId="100" xfId="0" applyFont="1" applyBorder="1" applyAlignment="1">
      <alignment horizontal="center"/>
    </xf>
    <xf numFmtId="0" fontId="21" fillId="0" borderId="26" xfId="0" applyFont="1" applyBorder="1" applyAlignment="1">
      <alignment horizontal="right"/>
    </xf>
    <xf numFmtId="170" fontId="21" fillId="0" borderId="48" xfId="0" applyNumberFormat="1" applyFont="1" applyBorder="1" applyAlignment="1"/>
    <xf numFmtId="0" fontId="21" fillId="0" borderId="100" xfId="0" applyFont="1" applyBorder="1" applyAlignment="1">
      <alignment horizontal="right"/>
    </xf>
    <xf numFmtId="0" fontId="21" fillId="0" borderId="26" xfId="0" applyFont="1" applyBorder="1" applyAlignment="1"/>
    <xf numFmtId="0" fontId="20" fillId="0" borderId="54" xfId="0" applyFont="1" applyBorder="1" applyAlignment="1">
      <alignment horizontal="right"/>
    </xf>
    <xf numFmtId="0" fontId="20" fillId="0" borderId="93" xfId="0" applyFont="1" applyBorder="1" applyAlignment="1"/>
    <xf numFmtId="0" fontId="21" fillId="13" borderId="93" xfId="0" applyFont="1" applyFill="1" applyBorder="1" applyAlignment="1"/>
    <xf numFmtId="191" fontId="21" fillId="0" borderId="143" xfId="0" applyNumberFormat="1" applyFont="1" applyBorder="1" applyAlignment="1"/>
    <xf numFmtId="0" fontId="21" fillId="0" borderId="100" xfId="0" applyFont="1" applyBorder="1" applyAlignment="1"/>
    <xf numFmtId="0" fontId="21" fillId="13" borderId="100" xfId="0" applyFont="1" applyFill="1" applyBorder="1" applyAlignment="1"/>
    <xf numFmtId="0" fontId="59" fillId="0" borderId="0" xfId="0" applyFont="1" applyAlignment="1"/>
    <xf numFmtId="0" fontId="20" fillId="0" borderId="144" xfId="0" applyFont="1" applyBorder="1" applyAlignment="1"/>
    <xf numFmtId="0" fontId="21" fillId="0" borderId="145" xfId="0" applyFont="1" applyBorder="1" applyAlignment="1"/>
    <xf numFmtId="0" fontId="21" fillId="4" borderId="34" xfId="0" applyFont="1" applyFill="1" applyBorder="1" applyAlignment="1">
      <alignment horizontal="right"/>
    </xf>
    <xf numFmtId="9" fontId="21" fillId="4" borderId="146" xfId="0" applyNumberFormat="1" applyFont="1" applyFill="1" applyBorder="1" applyAlignment="1">
      <alignment horizontal="right"/>
    </xf>
    <xf numFmtId="0" fontId="21" fillId="5" borderId="0" xfId="0" applyFont="1" applyFill="1" applyAlignment="1"/>
    <xf numFmtId="9" fontId="21" fillId="4" borderId="144" xfId="0" applyNumberFormat="1" applyFont="1" applyFill="1" applyBorder="1" applyAlignment="1">
      <alignment horizontal="right"/>
    </xf>
    <xf numFmtId="190" fontId="21" fillId="0" borderId="0" xfId="0" applyNumberFormat="1" applyFont="1" applyAlignment="1"/>
    <xf numFmtId="0" fontId="20" fillId="0" borderId="0" xfId="0" applyFont="1" applyAlignment="1">
      <alignment horizontal="right"/>
    </xf>
    <xf numFmtId="9" fontId="21" fillId="5" borderId="147" xfId="0" applyNumberFormat="1" applyFont="1" applyFill="1" applyBorder="1" applyAlignment="1">
      <alignment horizontal="right"/>
    </xf>
    <xf numFmtId="182" fontId="21" fillId="0" borderId="0" xfId="0" applyNumberFormat="1" applyFont="1" applyAlignment="1"/>
    <xf numFmtId="0" fontId="21" fillId="14" borderId="0" xfId="0" applyFont="1" applyFill="1" applyAlignment="1"/>
    <xf numFmtId="182" fontId="21" fillId="0" borderId="48" xfId="0" applyNumberFormat="1" applyFont="1" applyBorder="1" applyAlignment="1"/>
    <xf numFmtId="0" fontId="20" fillId="0" borderId="48" xfId="0" applyFont="1" applyBorder="1" applyAlignment="1"/>
    <xf numFmtId="2" fontId="20" fillId="0" borderId="48" xfId="0" applyNumberFormat="1" applyFont="1" applyBorder="1" applyAlignment="1"/>
    <xf numFmtId="10" fontId="21" fillId="0" borderId="0" xfId="0" applyNumberFormat="1" applyFont="1" applyAlignment="1">
      <alignment horizontal="right"/>
    </xf>
    <xf numFmtId="10" fontId="21" fillId="0" borderId="0" xfId="0" applyNumberFormat="1" applyFont="1" applyAlignment="1"/>
    <xf numFmtId="9" fontId="21" fillId="0" borderId="0" xfId="0" applyNumberFormat="1" applyFont="1" applyAlignment="1">
      <alignment horizontal="right"/>
    </xf>
    <xf numFmtId="0" fontId="20" fillId="0" borderId="0" xfId="0" applyFont="1" applyAlignment="1"/>
    <xf numFmtId="0" fontId="12" fillId="0" borderId="1" xfId="0" applyFont="1" applyBorder="1" applyAlignment="1"/>
    <xf numFmtId="0" fontId="61" fillId="0" borderId="0" xfId="0" applyFont="1" applyAlignment="1"/>
    <xf numFmtId="0" fontId="14" fillId="0" borderId="36" xfId="0" applyFont="1" applyBorder="1" applyAlignment="1">
      <alignment horizontal="left"/>
    </xf>
    <xf numFmtId="0" fontId="14" fillId="0" borderId="148" xfId="0" applyFont="1" applyBorder="1" applyAlignment="1">
      <alignment horizontal="left"/>
    </xf>
    <xf numFmtId="0" fontId="14" fillId="0" borderId="149" xfId="0" applyFont="1" applyBorder="1" applyAlignment="1">
      <alignment horizontal="left"/>
    </xf>
    <xf numFmtId="0" fontId="20" fillId="0" borderId="150" xfId="0" applyFont="1" applyBorder="1" applyAlignment="1">
      <alignment horizontal="center"/>
    </xf>
    <xf numFmtId="0" fontId="20" fillId="0" borderId="144" xfId="0" applyFont="1" applyBorder="1" applyAlignment="1">
      <alignment horizontal="center"/>
    </xf>
    <xf numFmtId="0" fontId="20" fillId="0" borderId="144" xfId="0" applyFont="1" applyBorder="1" applyAlignment="1">
      <alignment horizontal="center"/>
    </xf>
    <xf numFmtId="0" fontId="20" fillId="0" borderId="150" xfId="0" applyFont="1" applyBorder="1" applyAlignment="1">
      <alignment horizontal="center"/>
    </xf>
    <xf numFmtId="0" fontId="20" fillId="15" borderId="144" xfId="0" applyFont="1" applyFill="1" applyBorder="1" applyAlignment="1">
      <alignment horizontal="center"/>
    </xf>
    <xf numFmtId="0" fontId="21" fillId="5" borderId="151" xfId="0" applyFont="1" applyFill="1" applyBorder="1" applyAlignment="1">
      <alignment horizontal="center"/>
    </xf>
    <xf numFmtId="191" fontId="21" fillId="5" borderId="152" xfId="0" applyNumberFormat="1" applyFont="1" applyFill="1" applyBorder="1" applyAlignment="1">
      <alignment horizontal="center"/>
    </xf>
    <xf numFmtId="191" fontId="21" fillId="5" borderId="152" xfId="0" applyNumberFormat="1" applyFont="1" applyFill="1" applyBorder="1" applyAlignment="1">
      <alignment horizontal="center"/>
    </xf>
    <xf numFmtId="10" fontId="12" fillId="0" borderId="46" xfId="0" applyNumberFormat="1" applyFont="1" applyBorder="1" applyAlignment="1">
      <alignment horizontal="center"/>
    </xf>
    <xf numFmtId="191" fontId="21" fillId="5" borderId="152" xfId="0" applyNumberFormat="1" applyFont="1" applyFill="1" applyBorder="1" applyAlignment="1"/>
    <xf numFmtId="0" fontId="21" fillId="5" borderId="153" xfId="0" applyFont="1" applyFill="1" applyBorder="1" applyAlignment="1">
      <alignment horizontal="center"/>
    </xf>
    <xf numFmtId="191" fontId="62" fillId="0" borderId="0" xfId="0" applyNumberFormat="1" applyFont="1"/>
    <xf numFmtId="10" fontId="12" fillId="0" borderId="65" xfId="0" applyNumberFormat="1" applyFont="1" applyBorder="1" applyAlignment="1">
      <alignment horizontal="center"/>
    </xf>
    <xf numFmtId="191" fontId="21" fillId="5" borderId="69" xfId="0" applyNumberFormat="1" applyFont="1" applyFill="1" applyBorder="1" applyAlignment="1">
      <alignment horizontal="center"/>
    </xf>
    <xf numFmtId="191" fontId="21" fillId="5" borderId="69" xfId="0" applyNumberFormat="1" applyFont="1" applyFill="1" applyBorder="1" applyAlignment="1">
      <alignment horizontal="center"/>
    </xf>
    <xf numFmtId="0" fontId="20" fillId="5" borderId="154" xfId="0" applyFont="1" applyFill="1" applyBorder="1" applyAlignment="1">
      <alignment horizontal="left"/>
    </xf>
    <xf numFmtId="191" fontId="21" fillId="5" borderId="155" xfId="0" applyNumberFormat="1" applyFont="1" applyFill="1" applyBorder="1" applyAlignment="1">
      <alignment horizontal="center"/>
    </xf>
    <xf numFmtId="191" fontId="20" fillId="5" borderId="156" xfId="0" applyNumberFormat="1" applyFont="1" applyFill="1" applyBorder="1" applyAlignment="1">
      <alignment horizontal="center"/>
    </xf>
    <xf numFmtId="191" fontId="21" fillId="5" borderId="155" xfId="0" applyNumberFormat="1" applyFont="1" applyFill="1" applyBorder="1" applyAlignment="1">
      <alignment horizontal="center"/>
    </xf>
    <xf numFmtId="10" fontId="3" fillId="0" borderId="46" xfId="0" applyNumberFormat="1" applyFont="1" applyBorder="1" applyAlignment="1">
      <alignment horizontal="center"/>
    </xf>
    <xf numFmtId="191" fontId="20" fillId="5" borderId="155" xfId="0" applyNumberFormat="1" applyFont="1" applyFill="1" applyBorder="1" applyAlignment="1"/>
    <xf numFmtId="10" fontId="3" fillId="0" borderId="41" xfId="0" applyNumberFormat="1" applyFont="1" applyBorder="1" applyAlignment="1">
      <alignment horizontal="center"/>
    </xf>
    <xf numFmtId="191" fontId="20" fillId="5" borderId="157" xfId="0" applyNumberFormat="1" applyFont="1" applyFill="1" applyBorder="1" applyAlignment="1"/>
    <xf numFmtId="10" fontId="3" fillId="0" borderId="65" xfId="0" applyNumberFormat="1" applyFont="1" applyBorder="1" applyAlignment="1">
      <alignment horizontal="center"/>
    </xf>
    <xf numFmtId="191" fontId="21" fillId="5" borderId="108" xfId="0" applyNumberFormat="1" applyFont="1" applyFill="1" applyBorder="1" applyAlignment="1"/>
    <xf numFmtId="1" fontId="3" fillId="0" borderId="0" xfId="0" applyNumberFormat="1" applyFont="1" applyAlignment="1">
      <alignment horizontal="center"/>
    </xf>
    <xf numFmtId="192" fontId="21" fillId="5" borderId="158" xfId="0" applyNumberFormat="1" applyFont="1" applyFill="1" applyBorder="1" applyAlignment="1">
      <alignment horizontal="center"/>
    </xf>
    <xf numFmtId="0" fontId="14" fillId="0" borderId="148" xfId="0" applyFont="1" applyBorder="1" applyAlignment="1">
      <alignment horizontal="left"/>
    </xf>
    <xf numFmtId="191" fontId="21" fillId="5" borderId="26" xfId="0" applyNumberFormat="1" applyFont="1" applyFill="1" applyBorder="1" applyAlignment="1">
      <alignment horizontal="center"/>
    </xf>
    <xf numFmtId="0" fontId="14" fillId="0" borderId="159" xfId="0" applyFont="1" applyBorder="1" applyAlignment="1">
      <alignment horizontal="left"/>
    </xf>
    <xf numFmtId="0" fontId="14" fillId="0" borderId="160" xfId="0" applyFont="1" applyBorder="1" applyAlignment="1">
      <alignment horizontal="left"/>
    </xf>
    <xf numFmtId="191" fontId="21" fillId="5" borderId="161" xfId="0" applyNumberFormat="1" applyFont="1" applyFill="1" applyBorder="1" applyAlignment="1">
      <alignment horizontal="center"/>
    </xf>
    <xf numFmtId="0" fontId="3" fillId="0" borderId="150" xfId="0" applyFont="1" applyBorder="1" applyAlignment="1">
      <alignment horizontal="center"/>
    </xf>
    <xf numFmtId="0" fontId="3" fillId="0" borderId="162" xfId="0" applyFont="1" applyBorder="1" applyAlignment="1">
      <alignment horizontal="center"/>
    </xf>
    <xf numFmtId="191" fontId="21" fillId="5" borderId="26" xfId="0" applyNumberFormat="1" applyFont="1" applyFill="1" applyBorder="1" applyAlignment="1">
      <alignment horizontal="center"/>
    </xf>
    <xf numFmtId="0" fontId="3" fillId="0" borderId="163" xfId="0" applyFont="1" applyBorder="1" applyAlignment="1">
      <alignment horizontal="center"/>
    </xf>
    <xf numFmtId="191" fontId="21" fillId="5" borderId="53" xfId="0" applyNumberFormat="1" applyFont="1" applyFill="1" applyBorder="1" applyAlignment="1">
      <alignment horizontal="center"/>
    </xf>
    <xf numFmtId="191" fontId="21" fillId="5" borderId="26" xfId="0" applyNumberFormat="1" applyFont="1" applyFill="1" applyBorder="1" applyAlignment="1"/>
    <xf numFmtId="0" fontId="3" fillId="0" borderId="164" xfId="0" applyFont="1" applyBorder="1" applyAlignment="1">
      <alignment horizontal="center"/>
    </xf>
    <xf numFmtId="0" fontId="3" fillId="0" borderId="165" xfId="0" applyFont="1" applyBorder="1" applyAlignment="1">
      <alignment horizontal="center"/>
    </xf>
    <xf numFmtId="193" fontId="21" fillId="5" borderId="158" xfId="0" applyNumberFormat="1" applyFont="1" applyFill="1" applyBorder="1" applyAlignment="1">
      <alignment horizontal="center"/>
    </xf>
    <xf numFmtId="0" fontId="3" fillId="0" borderId="166" xfId="0" applyFont="1" applyBorder="1" applyAlignment="1">
      <alignment horizontal="center"/>
    </xf>
    <xf numFmtId="191" fontId="21" fillId="5" borderId="167" xfId="0" applyNumberFormat="1" applyFont="1" applyFill="1" applyBorder="1" applyAlignment="1">
      <alignment horizontal="center"/>
    </xf>
    <xf numFmtId="0" fontId="21" fillId="0" borderId="148" xfId="0" applyFont="1" applyBorder="1" applyAlignment="1">
      <alignment horizontal="center"/>
    </xf>
    <xf numFmtId="170" fontId="12" fillId="0" borderId="55" xfId="0" applyNumberFormat="1" applyFont="1" applyBorder="1" applyAlignment="1">
      <alignment horizontal="center"/>
    </xf>
    <xf numFmtId="9" fontId="12" fillId="0" borderId="55" xfId="0" applyNumberFormat="1" applyFont="1" applyBorder="1" applyAlignment="1"/>
    <xf numFmtId="191" fontId="21" fillId="5" borderId="54" xfId="0" applyNumberFormat="1" applyFont="1" applyFill="1" applyBorder="1" applyAlignment="1">
      <alignment horizontal="center"/>
    </xf>
    <xf numFmtId="170" fontId="12" fillId="0" borderId="57" xfId="0" applyNumberFormat="1" applyFont="1" applyBorder="1" applyAlignment="1">
      <alignment horizontal="center"/>
    </xf>
    <xf numFmtId="0" fontId="21" fillId="0" borderId="168" xfId="0" applyFont="1" applyBorder="1" applyAlignment="1">
      <alignment horizontal="center"/>
    </xf>
    <xf numFmtId="0" fontId="14" fillId="0" borderId="0" xfId="0" applyFont="1" applyAlignment="1">
      <alignment horizontal="left"/>
    </xf>
    <xf numFmtId="170" fontId="21" fillId="0" borderId="1" xfId="0" applyNumberFormat="1" applyFont="1" applyBorder="1" applyAlignment="1">
      <alignment horizontal="right"/>
    </xf>
    <xf numFmtId="170" fontId="21" fillId="0" borderId="34" xfId="0" applyNumberFormat="1" applyFont="1" applyBorder="1" applyAlignment="1">
      <alignment horizontal="right"/>
    </xf>
    <xf numFmtId="0" fontId="21" fillId="5" borderId="0" xfId="0" applyFont="1" applyFill="1" applyAlignment="1">
      <alignment horizontal="center"/>
    </xf>
    <xf numFmtId="194" fontId="12" fillId="0" borderId="40" xfId="0" applyNumberFormat="1" applyFont="1" applyBorder="1" applyAlignment="1"/>
    <xf numFmtId="0" fontId="21" fillId="5" borderId="0" xfId="0" applyFont="1" applyFill="1" applyAlignment="1">
      <alignment horizontal="center"/>
    </xf>
    <xf numFmtId="9" fontId="12" fillId="0" borderId="50" xfId="0" applyNumberFormat="1" applyFont="1" applyBorder="1" applyAlignment="1"/>
    <xf numFmtId="170" fontId="3" fillId="0" borderId="169" xfId="0" applyNumberFormat="1" applyFont="1" applyBorder="1" applyAlignment="1">
      <alignment horizontal="center"/>
    </xf>
    <xf numFmtId="170" fontId="3" fillId="0" borderId="157" xfId="0" applyNumberFormat="1" applyFont="1" applyBorder="1" applyAlignment="1">
      <alignment horizontal="center"/>
    </xf>
    <xf numFmtId="170" fontId="3" fillId="0" borderId="170" xfId="0" applyNumberFormat="1" applyFont="1" applyBorder="1" applyAlignment="1">
      <alignment horizontal="center"/>
    </xf>
    <xf numFmtId="0" fontId="20" fillId="5" borderId="0" xfId="0" applyFont="1" applyFill="1" applyAlignment="1"/>
    <xf numFmtId="170" fontId="3" fillId="0" borderId="157" xfId="0" applyNumberFormat="1" applyFont="1" applyBorder="1" applyAlignment="1"/>
    <xf numFmtId="0" fontId="20" fillId="5" borderId="0" xfId="0" applyFont="1" applyFill="1" applyAlignment="1">
      <alignment horizontal="center"/>
    </xf>
    <xf numFmtId="9" fontId="12" fillId="0" borderId="157" xfId="0" applyNumberFormat="1" applyFont="1" applyBorder="1" applyAlignment="1"/>
    <xf numFmtId="170" fontId="3" fillId="0" borderId="171" xfId="0" applyNumberFormat="1" applyFont="1" applyBorder="1" applyAlignment="1">
      <alignment horizontal="center"/>
    </xf>
    <xf numFmtId="170" fontId="3" fillId="0" borderId="108" xfId="0" applyNumberFormat="1" applyFont="1" applyBorder="1" applyAlignment="1"/>
    <xf numFmtId="0" fontId="20" fillId="5" borderId="172" xfId="0" applyFont="1" applyFill="1" applyBorder="1" applyAlignment="1">
      <alignment horizontal="center"/>
    </xf>
    <xf numFmtId="191" fontId="20" fillId="5" borderId="173" xfId="0" applyNumberFormat="1" applyFont="1" applyFill="1" applyBorder="1" applyAlignment="1">
      <alignment horizontal="center"/>
    </xf>
    <xf numFmtId="194" fontId="21" fillId="0" borderId="148" xfId="0" applyNumberFormat="1" applyFont="1" applyBorder="1" applyAlignment="1">
      <alignment horizontal="center"/>
    </xf>
    <xf numFmtId="191" fontId="20" fillId="5" borderId="167" xfId="0" applyNumberFormat="1" applyFont="1" applyFill="1" applyBorder="1" applyAlignment="1"/>
    <xf numFmtId="191" fontId="20" fillId="5" borderId="167" xfId="0" applyNumberFormat="1" applyFont="1" applyFill="1" applyBorder="1" applyAlignment="1"/>
    <xf numFmtId="191" fontId="20" fillId="5" borderId="161" xfId="0" applyNumberFormat="1" applyFont="1" applyFill="1" applyBorder="1" applyAlignment="1"/>
    <xf numFmtId="0" fontId="21" fillId="5" borderId="0" xfId="0" applyFont="1" applyFill="1" applyAlignment="1">
      <alignment horizontal="center"/>
    </xf>
    <xf numFmtId="9" fontId="12" fillId="0" borderId="44" xfId="0" applyNumberFormat="1" applyFont="1" applyBorder="1" applyAlignment="1"/>
    <xf numFmtId="0" fontId="14" fillId="0" borderId="174" xfId="0" applyFont="1" applyBorder="1" applyAlignment="1">
      <alignment horizontal="left"/>
    </xf>
    <xf numFmtId="194" fontId="21" fillId="0" borderId="168" xfId="0" applyNumberFormat="1" applyFont="1" applyBorder="1" applyAlignment="1">
      <alignment horizontal="center"/>
    </xf>
    <xf numFmtId="0" fontId="20" fillId="0" borderId="175" xfId="0" applyFont="1" applyBorder="1" applyAlignment="1">
      <alignment horizontal="center"/>
    </xf>
    <xf numFmtId="0" fontId="20" fillId="0" borderId="176" xfId="0" applyFont="1" applyBorder="1" applyAlignment="1">
      <alignment horizontal="center"/>
    </xf>
    <xf numFmtId="0" fontId="20" fillId="0" borderId="177" xfId="0" applyFont="1" applyBorder="1" applyAlignment="1">
      <alignment horizontal="center"/>
    </xf>
    <xf numFmtId="0" fontId="20" fillId="0" borderId="177" xfId="0" applyFont="1" applyBorder="1" applyAlignment="1">
      <alignment horizontal="center"/>
    </xf>
    <xf numFmtId="0" fontId="20" fillId="0" borderId="178" xfId="0" applyFont="1" applyBorder="1" applyAlignment="1">
      <alignment horizontal="center"/>
    </xf>
    <xf numFmtId="192" fontId="21" fillId="0" borderId="158" xfId="0" applyNumberFormat="1" applyFont="1" applyBorder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100" xfId="0" applyFont="1" applyBorder="1" applyAlignment="1"/>
    <xf numFmtId="0" fontId="21" fillId="0" borderId="178" xfId="0" applyFont="1" applyBorder="1" applyAlignment="1">
      <alignment horizontal="center"/>
    </xf>
    <xf numFmtId="193" fontId="21" fillId="0" borderId="158" xfId="0" applyNumberFormat="1" applyFont="1" applyBorder="1" applyAlignment="1">
      <alignment horizontal="center"/>
    </xf>
    <xf numFmtId="2" fontId="16" fillId="5" borderId="0" xfId="0" applyNumberFormat="1" applyFont="1" applyFill="1"/>
    <xf numFmtId="2" fontId="21" fillId="0" borderId="48" xfId="0" applyNumberFormat="1" applyFont="1" applyBorder="1" applyAlignment="1">
      <alignment horizontal="center"/>
    </xf>
    <xf numFmtId="2" fontId="21" fillId="0" borderId="178" xfId="0" applyNumberFormat="1" applyFont="1" applyBorder="1" applyAlignment="1">
      <alignment horizontal="right"/>
    </xf>
    <xf numFmtId="0" fontId="21" fillId="0" borderId="178" xfId="0" applyFont="1" applyBorder="1" applyAlignment="1">
      <alignment horizontal="right"/>
    </xf>
    <xf numFmtId="0" fontId="20" fillId="5" borderId="0" xfId="0" applyFont="1" applyFill="1" applyAlignment="1"/>
    <xf numFmtId="0" fontId="20" fillId="5" borderId="0" xfId="0" applyFont="1" applyFill="1" applyAlignment="1">
      <alignment horizontal="center"/>
    </xf>
    <xf numFmtId="2" fontId="21" fillId="0" borderId="175" xfId="0" applyNumberFormat="1" applyFont="1" applyBorder="1" applyAlignment="1">
      <alignment horizontal="right"/>
    </xf>
    <xf numFmtId="0" fontId="21" fillId="0" borderId="179" xfId="0" applyFont="1" applyBorder="1" applyAlignment="1"/>
    <xf numFmtId="0" fontId="63" fillId="5" borderId="0" xfId="0" applyFont="1" applyFill="1"/>
    <xf numFmtId="0" fontId="21" fillId="0" borderId="143" xfId="0" applyFont="1" applyBorder="1" applyAlignment="1">
      <alignment horizontal="center"/>
    </xf>
    <xf numFmtId="0" fontId="21" fillId="0" borderId="143" xfId="0" applyFont="1" applyBorder="1" applyAlignment="1"/>
    <xf numFmtId="0" fontId="21" fillId="0" borderId="180" xfId="0" applyFont="1" applyBorder="1" applyAlignment="1">
      <alignment horizontal="center"/>
    </xf>
    <xf numFmtId="0" fontId="20" fillId="0" borderId="172" xfId="0" applyFont="1" applyBorder="1" applyAlignment="1">
      <alignment horizontal="center"/>
    </xf>
    <xf numFmtId="0" fontId="20" fillId="0" borderId="167" xfId="0" applyFont="1" applyBorder="1" applyAlignment="1">
      <alignment horizontal="center"/>
    </xf>
    <xf numFmtId="2" fontId="20" fillId="0" borderId="167" xfId="0" applyNumberFormat="1" applyFont="1" applyBorder="1" applyAlignment="1">
      <alignment horizontal="right"/>
    </xf>
    <xf numFmtId="0" fontId="20" fillId="0" borderId="167" xfId="0" applyFont="1" applyBorder="1" applyAlignment="1"/>
    <xf numFmtId="2" fontId="20" fillId="0" borderId="181" xfId="0" applyNumberFormat="1" applyFont="1" applyBorder="1" applyAlignment="1">
      <alignment horizontal="right"/>
    </xf>
    <xf numFmtId="194" fontId="21" fillId="0" borderId="150" xfId="0" applyNumberFormat="1" applyFont="1" applyBorder="1" applyAlignment="1"/>
    <xf numFmtId="9" fontId="12" fillId="0" borderId="50" xfId="0" applyNumberFormat="1" applyFont="1" applyBorder="1" applyAlignment="1">
      <alignment horizontal="center"/>
    </xf>
    <xf numFmtId="0" fontId="20" fillId="0" borderId="169" xfId="0" applyFont="1" applyBorder="1" applyAlignment="1">
      <alignment horizontal="center"/>
    </xf>
    <xf numFmtId="170" fontId="12" fillId="0" borderId="157" xfId="0" applyNumberFormat="1" applyFont="1" applyBorder="1" applyAlignment="1">
      <alignment horizontal="center"/>
    </xf>
    <xf numFmtId="9" fontId="12" fillId="0" borderId="157" xfId="0" applyNumberFormat="1" applyFont="1" applyBorder="1" applyAlignment="1">
      <alignment horizontal="center"/>
    </xf>
    <xf numFmtId="170" fontId="12" fillId="0" borderId="182" xfId="0" applyNumberFormat="1" applyFont="1" applyBorder="1" applyAlignment="1">
      <alignment horizontal="center"/>
    </xf>
    <xf numFmtId="194" fontId="12" fillId="0" borderId="43" xfId="0" applyNumberFormat="1" applyFont="1" applyBorder="1" applyAlignment="1">
      <alignment horizontal="left"/>
    </xf>
    <xf numFmtId="9" fontId="12" fillId="0" borderId="44" xfId="0" applyNumberFormat="1" applyFont="1" applyBorder="1" applyAlignment="1">
      <alignment horizontal="center"/>
    </xf>
    <xf numFmtId="194" fontId="12" fillId="0" borderId="45" xfId="0" applyNumberFormat="1" applyFont="1" applyBorder="1" applyAlignment="1">
      <alignment horizontal="left"/>
    </xf>
    <xf numFmtId="9" fontId="12" fillId="0" borderId="46" xfId="0" applyNumberFormat="1" applyFont="1" applyBorder="1" applyAlignment="1">
      <alignment horizontal="center"/>
    </xf>
    <xf numFmtId="194" fontId="12" fillId="0" borderId="45" xfId="0" applyNumberFormat="1" applyFont="1" applyBorder="1" applyAlignment="1"/>
    <xf numFmtId="9" fontId="3" fillId="0" borderId="41" xfId="0" applyNumberFormat="1" applyFont="1" applyBorder="1" applyAlignment="1"/>
    <xf numFmtId="0" fontId="12" fillId="0" borderId="0" xfId="0" applyFont="1" applyAlignment="1">
      <alignment horizontal="left"/>
    </xf>
    <xf numFmtId="0" fontId="3" fillId="0" borderId="127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70" fontId="8" fillId="0" borderId="0" xfId="0" applyNumberFormat="1" applyFont="1"/>
    <xf numFmtId="0" fontId="12" fillId="0" borderId="183" xfId="0" applyFont="1" applyBorder="1" applyAlignment="1"/>
    <xf numFmtId="170" fontId="3" fillId="0" borderId="61" xfId="0" applyNumberFormat="1" applyFont="1" applyBorder="1" applyAlignment="1">
      <alignment horizontal="center"/>
    </xf>
    <xf numFmtId="9" fontId="12" fillId="0" borderId="65" xfId="0" applyNumberFormat="1" applyFont="1" applyBorder="1" applyAlignment="1">
      <alignment horizontal="center"/>
    </xf>
    <xf numFmtId="9" fontId="12" fillId="0" borderId="42" xfId="0" applyNumberFormat="1" applyFont="1" applyBorder="1" applyAlignment="1">
      <alignment horizontal="center"/>
    </xf>
    <xf numFmtId="10" fontId="12" fillId="0" borderId="41" xfId="0" applyNumberFormat="1" applyFont="1" applyBorder="1" applyAlignment="1"/>
    <xf numFmtId="191" fontId="58" fillId="0" borderId="100" xfId="0" applyNumberFormat="1" applyFont="1" applyBorder="1" applyAlignment="1">
      <alignment horizontal="center"/>
    </xf>
    <xf numFmtId="191" fontId="21" fillId="0" borderId="48" xfId="0" applyNumberFormat="1" applyFont="1" applyBorder="1" applyAlignment="1"/>
    <xf numFmtId="191" fontId="21" fillId="0" borderId="100" xfId="0" applyNumberFormat="1" applyFont="1" applyBorder="1" applyAlignment="1">
      <alignment horizontal="right"/>
    </xf>
    <xf numFmtId="0" fontId="21" fillId="0" borderId="48" xfId="0" applyFont="1" applyBorder="1" applyAlignment="1">
      <alignment horizontal="right"/>
    </xf>
    <xf numFmtId="0" fontId="21" fillId="0" borderId="26" xfId="0" applyFont="1" applyBorder="1" applyAlignment="1">
      <alignment horizontal="right"/>
    </xf>
    <xf numFmtId="191" fontId="21" fillId="0" borderId="100" xfId="0" applyNumberFormat="1" applyFont="1" applyBorder="1" applyAlignment="1"/>
    <xf numFmtId="0" fontId="12" fillId="0" borderId="125" xfId="0" applyFont="1" applyBorder="1" applyAlignment="1">
      <alignment horizontal="left"/>
    </xf>
    <xf numFmtId="170" fontId="3" fillId="0" borderId="64" xfId="0" applyNumberFormat="1" applyFont="1" applyBorder="1" applyAlignment="1">
      <alignment horizontal="center"/>
    </xf>
    <xf numFmtId="191" fontId="12" fillId="0" borderId="46" xfId="0" applyNumberFormat="1" applyFont="1" applyBorder="1" applyAlignment="1">
      <alignment horizontal="center"/>
    </xf>
    <xf numFmtId="191" fontId="12" fillId="0" borderId="65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84" fontId="12" fillId="0" borderId="65" xfId="0" applyNumberFormat="1" applyFont="1" applyBorder="1" applyAlignment="1">
      <alignment horizontal="center"/>
    </xf>
    <xf numFmtId="191" fontId="12" fillId="0" borderId="46" xfId="0" applyNumberFormat="1" applyFont="1" applyBorder="1" applyAlignment="1">
      <alignment horizontal="center"/>
    </xf>
    <xf numFmtId="184" fontId="12" fillId="0" borderId="46" xfId="0" applyNumberFormat="1" applyFont="1" applyBorder="1" applyAlignment="1"/>
    <xf numFmtId="170" fontId="12" fillId="0" borderId="184" xfId="0" applyNumberFormat="1" applyFont="1" applyBorder="1" applyAlignment="1">
      <alignment horizontal="center"/>
    </xf>
    <xf numFmtId="184" fontId="12" fillId="0" borderId="184" xfId="0" applyNumberFormat="1" applyFont="1" applyBorder="1" applyAlignment="1"/>
    <xf numFmtId="184" fontId="12" fillId="0" borderId="64" xfId="0" applyNumberFormat="1" applyFont="1" applyBorder="1" applyAlignment="1"/>
    <xf numFmtId="184" fontId="12" fillId="0" borderId="46" xfId="0" applyNumberFormat="1" applyFont="1" applyBorder="1" applyAlignment="1">
      <alignment horizontal="center"/>
    </xf>
    <xf numFmtId="184" fontId="12" fillId="0" borderId="184" xfId="0" applyNumberFormat="1" applyFont="1" applyBorder="1" applyAlignment="1">
      <alignment horizontal="center"/>
    </xf>
    <xf numFmtId="191" fontId="12" fillId="0" borderId="185" xfId="0" applyNumberFormat="1" applyFont="1" applyBorder="1" applyAlignment="1">
      <alignment horizontal="center"/>
    </xf>
    <xf numFmtId="170" fontId="12" fillId="0" borderId="184" xfId="0" applyNumberFormat="1" applyFont="1" applyBorder="1" applyAlignment="1">
      <alignment horizontal="center"/>
    </xf>
    <xf numFmtId="170" fontId="12" fillId="0" borderId="185" xfId="0" applyNumberFormat="1" applyFont="1" applyBorder="1" applyAlignment="1">
      <alignment horizontal="center"/>
    </xf>
    <xf numFmtId="184" fontId="12" fillId="0" borderId="185" xfId="0" applyNumberFormat="1" applyFont="1" applyBorder="1" applyAlignment="1"/>
    <xf numFmtId="184" fontId="12" fillId="0" borderId="120" xfId="0" applyNumberFormat="1" applyFont="1" applyBorder="1" applyAlignment="1"/>
    <xf numFmtId="170" fontId="0" fillId="5" borderId="143" xfId="0" applyNumberFormat="1" applyFont="1" applyFill="1" applyBorder="1"/>
    <xf numFmtId="170" fontId="0" fillId="5" borderId="0" xfId="0" applyNumberFormat="1" applyFont="1" applyFill="1"/>
    <xf numFmtId="191" fontId="12" fillId="0" borderId="46" xfId="0" applyNumberFormat="1" applyFont="1" applyBorder="1" applyAlignment="1"/>
    <xf numFmtId="0" fontId="3" fillId="0" borderId="50" xfId="0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191" fontId="3" fillId="0" borderId="55" xfId="0" applyNumberFormat="1" applyFont="1" applyBorder="1" applyAlignment="1">
      <alignment horizontal="center"/>
    </xf>
    <xf numFmtId="191" fontId="12" fillId="0" borderId="184" xfId="0" applyNumberFormat="1" applyFont="1" applyBorder="1" applyAlignment="1"/>
    <xf numFmtId="191" fontId="12" fillId="0" borderId="185" xfId="0" applyNumberFormat="1" applyFont="1" applyBorder="1" applyAlignment="1"/>
    <xf numFmtId="191" fontId="12" fillId="0" borderId="64" xfId="0" applyNumberFormat="1" applyFont="1" applyBorder="1" applyAlignment="1"/>
    <xf numFmtId="184" fontId="12" fillId="0" borderId="64" xfId="0" applyNumberFormat="1" applyFont="1" applyBorder="1" applyAlignment="1">
      <alignment horizontal="center"/>
    </xf>
    <xf numFmtId="184" fontId="12" fillId="0" borderId="133" xfId="0" applyNumberFormat="1" applyFont="1" applyBorder="1" applyAlignment="1">
      <alignment horizontal="center"/>
    </xf>
    <xf numFmtId="170" fontId="3" fillId="0" borderId="46" xfId="0" applyNumberFormat="1" applyFont="1" applyBorder="1" applyAlignment="1">
      <alignment horizontal="center"/>
    </xf>
    <xf numFmtId="184" fontId="3" fillId="0" borderId="65" xfId="0" applyNumberFormat="1" applyFont="1" applyBorder="1" applyAlignment="1">
      <alignment horizontal="center"/>
    </xf>
    <xf numFmtId="170" fontId="3" fillId="0" borderId="133" xfId="0" applyNumberFormat="1" applyFont="1" applyBorder="1" applyAlignment="1">
      <alignment horizontal="center"/>
    </xf>
    <xf numFmtId="170" fontId="62" fillId="0" borderId="0" xfId="0" applyNumberFormat="1" applyFont="1" applyAlignment="1">
      <alignment horizontal="center"/>
    </xf>
    <xf numFmtId="191" fontId="12" fillId="0" borderId="0" xfId="0" applyNumberFormat="1" applyFont="1" applyAlignment="1"/>
    <xf numFmtId="191" fontId="12" fillId="0" borderId="65" xfId="0" applyNumberFormat="1" applyFont="1" applyBorder="1" applyAlignment="1">
      <alignment horizontal="center"/>
    </xf>
    <xf numFmtId="170" fontId="12" fillId="0" borderId="1" xfId="0" applyNumberFormat="1" applyFont="1" applyBorder="1" applyAlignment="1"/>
    <xf numFmtId="9" fontId="12" fillId="0" borderId="1" xfId="0" applyNumberFormat="1" applyFont="1" applyBorder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173" fontId="12" fillId="0" borderId="0" xfId="0" applyNumberFormat="1" applyFont="1" applyAlignment="1">
      <alignment horizontal="center"/>
    </xf>
    <xf numFmtId="0" fontId="64" fillId="0" borderId="0" xfId="0" applyFont="1" applyAlignment="1"/>
    <xf numFmtId="1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91" fontId="3" fillId="0" borderId="65" xfId="0" applyNumberFormat="1" applyFont="1" applyBorder="1" applyAlignment="1">
      <alignment horizontal="center"/>
    </xf>
    <xf numFmtId="191" fontId="3" fillId="0" borderId="46" xfId="0" applyNumberFormat="1" applyFont="1" applyBorder="1" applyAlignment="1">
      <alignment horizontal="center"/>
    </xf>
    <xf numFmtId="170" fontId="12" fillId="0" borderId="129" xfId="0" applyNumberFormat="1" applyFont="1" applyBorder="1" applyAlignment="1">
      <alignment horizontal="center"/>
    </xf>
    <xf numFmtId="191" fontId="3" fillId="0" borderId="41" xfId="0" applyNumberFormat="1" applyFont="1" applyBorder="1" applyAlignment="1">
      <alignment horizontal="center"/>
    </xf>
    <xf numFmtId="170" fontId="12" fillId="0" borderId="42" xfId="0" applyNumberFormat="1" applyFont="1" applyBorder="1" applyAlignment="1">
      <alignment horizontal="center"/>
    </xf>
    <xf numFmtId="0" fontId="13" fillId="2" borderId="140" xfId="0" applyFont="1" applyFill="1" applyBorder="1" applyAlignment="1">
      <alignment horizontal="center"/>
    </xf>
    <xf numFmtId="184" fontId="12" fillId="0" borderId="0" xfId="0" applyNumberFormat="1" applyFont="1" applyAlignment="1"/>
    <xf numFmtId="2" fontId="12" fillId="0" borderId="1" xfId="0" applyNumberFormat="1" applyFont="1" applyBorder="1" applyAlignment="1"/>
    <xf numFmtId="170" fontId="3" fillId="16" borderId="41" xfId="0" applyNumberFormat="1" applyFont="1" applyFill="1" applyBorder="1" applyAlignment="1"/>
    <xf numFmtId="191" fontId="12" fillId="16" borderId="46" xfId="0" applyNumberFormat="1" applyFont="1" applyFill="1" applyBorder="1" applyAlignment="1"/>
    <xf numFmtId="170" fontId="12" fillId="16" borderId="46" xfId="0" applyNumberFormat="1" applyFont="1" applyFill="1" applyBorder="1" applyAlignment="1">
      <alignment horizontal="center"/>
    </xf>
    <xf numFmtId="186" fontId="12" fillId="0" borderId="46" xfId="0" applyNumberFormat="1" applyFont="1" applyBorder="1" applyAlignment="1"/>
    <xf numFmtId="191" fontId="12" fillId="16" borderId="64" xfId="0" applyNumberFormat="1" applyFont="1" applyFill="1" applyBorder="1" applyAlignment="1">
      <alignment horizontal="center"/>
    </xf>
    <xf numFmtId="0" fontId="8" fillId="17" borderId="0" xfId="0" applyFont="1" applyFill="1" applyAlignment="1"/>
    <xf numFmtId="170" fontId="12" fillId="16" borderId="50" xfId="0" applyNumberFormat="1" applyFont="1" applyFill="1" applyBorder="1" applyAlignment="1">
      <alignment horizontal="center"/>
    </xf>
    <xf numFmtId="195" fontId="12" fillId="0" borderId="0" xfId="0" applyNumberFormat="1" applyFont="1" applyAlignment="1"/>
    <xf numFmtId="196" fontId="12" fillId="0" borderId="0" xfId="0" applyNumberFormat="1" applyFont="1" applyAlignment="1"/>
    <xf numFmtId="197" fontId="12" fillId="0" borderId="0" xfId="0" applyNumberFormat="1" applyFont="1" applyAlignment="1"/>
    <xf numFmtId="198" fontId="12" fillId="0" borderId="46" xfId="0" applyNumberFormat="1" applyFont="1" applyBorder="1" applyAlignment="1">
      <alignment horizontal="center"/>
    </xf>
    <xf numFmtId="198" fontId="3" fillId="0" borderId="41" xfId="0" applyNumberFormat="1" applyFont="1" applyBorder="1" applyAlignment="1">
      <alignment horizontal="center"/>
    </xf>
    <xf numFmtId="166" fontId="12" fillId="0" borderId="0" xfId="0" applyNumberFormat="1" applyFont="1" applyAlignment="1"/>
    <xf numFmtId="170" fontId="12" fillId="16" borderId="44" xfId="0" applyNumberFormat="1" applyFont="1" applyFill="1" applyBorder="1" applyAlignment="1">
      <alignment horizontal="center"/>
    </xf>
    <xf numFmtId="170" fontId="12" fillId="16" borderId="64" xfId="0" applyNumberFormat="1" applyFont="1" applyFill="1" applyBorder="1" applyAlignment="1">
      <alignment horizontal="center"/>
    </xf>
    <xf numFmtId="170" fontId="21" fillId="0" borderId="69" xfId="0" applyNumberFormat="1" applyFont="1" applyBorder="1" applyAlignment="1"/>
    <xf numFmtId="191" fontId="21" fillId="0" borderId="69" xfId="0" applyNumberFormat="1" applyFont="1" applyBorder="1" applyAlignment="1"/>
    <xf numFmtId="191" fontId="21" fillId="0" borderId="143" xfId="0" applyNumberFormat="1" applyFont="1" applyBorder="1" applyAlignment="1">
      <alignment horizontal="right"/>
    </xf>
    <xf numFmtId="0" fontId="3" fillId="18" borderId="188" xfId="0" applyFont="1" applyFill="1" applyBorder="1" applyAlignment="1"/>
    <xf numFmtId="0" fontId="21" fillId="0" borderId="189" xfId="0" applyFont="1" applyBorder="1" applyAlignment="1">
      <alignment horizontal="right"/>
    </xf>
    <xf numFmtId="0" fontId="20" fillId="18" borderId="186" xfId="0" applyFont="1" applyFill="1" applyBorder="1" applyAlignment="1">
      <alignment horizontal="right"/>
    </xf>
    <xf numFmtId="185" fontId="20" fillId="18" borderId="187" xfId="1" applyNumberFormat="1" applyFont="1" applyFill="1" applyBorder="1" applyAlignment="1"/>
    <xf numFmtId="3" fontId="21" fillId="0" borderId="26" xfId="0" applyNumberFormat="1" applyFont="1" applyBorder="1" applyAlignment="1">
      <alignment horizontal="right"/>
    </xf>
    <xf numFmtId="0" fontId="12" fillId="4" borderId="32" xfId="0" applyFont="1" applyFill="1" applyBorder="1" applyAlignment="1">
      <alignment horizontal="center"/>
    </xf>
    <xf numFmtId="0" fontId="8" fillId="0" borderId="33" xfId="0" applyFont="1" applyBorder="1"/>
    <xf numFmtId="0" fontId="8" fillId="0" borderId="34" xfId="0" applyFont="1" applyBorder="1"/>
    <xf numFmtId="0" fontId="6" fillId="2" borderId="2" xfId="0" applyFont="1" applyFill="1" applyBorder="1" applyAlignment="1">
      <alignment horizontal="center"/>
    </xf>
    <xf numFmtId="0" fontId="8" fillId="0" borderId="4" xfId="0" applyFont="1" applyBorder="1"/>
    <xf numFmtId="0" fontId="8" fillId="0" borderId="6" xfId="0" applyFont="1" applyBorder="1"/>
    <xf numFmtId="0" fontId="10" fillId="2" borderId="10" xfId="0" applyFont="1" applyFill="1" applyBorder="1" applyAlignment="1">
      <alignment horizontal="left" vertical="center" wrapText="1"/>
    </xf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0" fillId="0" borderId="0" xfId="0" applyFont="1" applyAlignment="1"/>
    <xf numFmtId="0" fontId="8" fillId="0" borderId="14" xfId="0" applyFont="1" applyBorder="1"/>
    <xf numFmtId="0" fontId="8" fillId="0" borderId="16" xfId="0" applyFont="1" applyBorder="1"/>
    <xf numFmtId="0" fontId="8" fillId="0" borderId="20" xfId="0" applyFont="1" applyBorder="1"/>
    <xf numFmtId="0" fontId="8" fillId="0" borderId="22" xfId="0" applyFont="1" applyBorder="1"/>
    <xf numFmtId="0" fontId="13" fillId="2" borderId="10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9" fillId="5" borderId="79" xfId="0" applyFont="1" applyFill="1" applyBorder="1" applyAlignment="1">
      <alignment horizontal="center"/>
    </xf>
    <xf numFmtId="0" fontId="8" fillId="0" borderId="91" xfId="0" applyFont="1" applyBorder="1"/>
    <xf numFmtId="0" fontId="8" fillId="0" borderId="80" xfId="0" applyFont="1" applyBorder="1"/>
    <xf numFmtId="0" fontId="27" fillId="5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9" fillId="5" borderId="91" xfId="0" applyFont="1" applyFill="1" applyBorder="1" applyAlignment="1">
      <alignment horizontal="center"/>
    </xf>
    <xf numFmtId="0" fontId="9" fillId="5" borderId="95" xfId="0" applyFont="1" applyFill="1" applyBorder="1" applyAlignment="1">
      <alignment horizontal="center"/>
    </xf>
    <xf numFmtId="0" fontId="8" fillId="0" borderId="96" xfId="0" applyFont="1" applyBorder="1"/>
    <xf numFmtId="0" fontId="7" fillId="0" borderId="95" xfId="0" applyFont="1" applyBorder="1" applyAlignment="1">
      <alignment horizontal="right"/>
    </xf>
    <xf numFmtId="0" fontId="8" fillId="0" borderId="97" xfId="0" applyFont="1" applyBorder="1"/>
    <xf numFmtId="0" fontId="7" fillId="0" borderId="95" xfId="0" applyFont="1" applyBorder="1" applyAlignment="1">
      <alignment horizontal="center"/>
    </xf>
    <xf numFmtId="0" fontId="7" fillId="0" borderId="79" xfId="0" applyFont="1" applyBorder="1" applyAlignment="1">
      <alignment horizontal="right"/>
    </xf>
    <xf numFmtId="0" fontId="8" fillId="0" borderId="92" xfId="0" applyFont="1" applyBorder="1"/>
    <xf numFmtId="0" fontId="37" fillId="0" borderId="91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7" fillId="0" borderId="82" xfId="0" applyFont="1" applyBorder="1" applyAlignment="1">
      <alignment horizontal="left" vertical="center"/>
    </xf>
    <xf numFmtId="0" fontId="8" fillId="0" borderId="8" xfId="0" applyFont="1" applyBorder="1"/>
    <xf numFmtId="0" fontId="7" fillId="0" borderId="18" xfId="0" applyFont="1" applyBorder="1" applyAlignment="1">
      <alignment horizontal="center" vertical="center"/>
    </xf>
    <xf numFmtId="0" fontId="8" fillId="0" borderId="9" xfId="0" applyFont="1" applyBorder="1"/>
    <xf numFmtId="0" fontId="3" fillId="0" borderId="37" xfId="0" applyFont="1" applyBorder="1" applyAlignment="1">
      <alignment horizontal="center"/>
    </xf>
    <xf numFmtId="0" fontId="8" fillId="0" borderId="38" xfId="0" applyFont="1" applyBorder="1"/>
    <xf numFmtId="0" fontId="8" fillId="0" borderId="39" xfId="0" applyFont="1" applyBorder="1"/>
    <xf numFmtId="0" fontId="20" fillId="0" borderId="58" xfId="0" applyFont="1" applyBorder="1" applyAlignment="1">
      <alignment horizontal="center"/>
    </xf>
    <xf numFmtId="0" fontId="8" fillId="0" borderId="59" xfId="0" applyFont="1" applyBorder="1"/>
    <xf numFmtId="0" fontId="57" fillId="0" borderId="54" xfId="0" applyFont="1" applyBorder="1" applyAlignment="1">
      <alignment horizontal="center"/>
    </xf>
    <xf numFmtId="0" fontId="8" fillId="0" borderId="142" xfId="0" applyFont="1" applyBorder="1"/>
    <xf numFmtId="0" fontId="8" fillId="0" borderId="93" xfId="0" applyFont="1" applyBorder="1"/>
    <xf numFmtId="0" fontId="20" fillId="0" borderId="54" xfId="0" applyFont="1" applyBorder="1" applyAlignment="1">
      <alignment horizontal="center"/>
    </xf>
    <xf numFmtId="0" fontId="21" fillId="0" borderId="0" xfId="0" applyFont="1" applyAlignment="1"/>
    <xf numFmtId="0" fontId="13" fillId="2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60" fillId="0" borderId="0" xfId="0" applyFont="1" applyAlignment="1"/>
    <xf numFmtId="0" fontId="3" fillId="0" borderId="133" xfId="0" applyFont="1" applyBorder="1" applyAlignment="1">
      <alignment horizontal="center"/>
    </xf>
    <xf numFmtId="0" fontId="8" fillId="0" borderId="64" xfId="0" applyFont="1" applyBorder="1"/>
    <xf numFmtId="0" fontId="8" fillId="0" borderId="122" xfId="0" applyFont="1" applyBorder="1"/>
    <xf numFmtId="164" fontId="20" fillId="18" borderId="187" xfId="2" applyFont="1" applyFill="1" applyBorder="1" applyAlignment="1">
      <alignment horizontal="center"/>
    </xf>
    <xf numFmtId="164" fontId="8" fillId="18" borderId="188" xfId="2" applyFont="1" applyFill="1" applyBorder="1"/>
    <xf numFmtId="0" fontId="13" fillId="2" borderId="2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44"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s-AR"/>
              <a:t>AÑO 5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'E-Costos'!$A$165:$A$181</c:f>
              <c:numCache>
                <c:formatCode>General</c:formatCode>
                <c:ptCount val="17"/>
                <c:pt idx="0">
                  <c:v>0</c:v>
                </c:pt>
                <c:pt idx="1">
                  <c:v>1000000</c:v>
                </c:pt>
                <c:pt idx="2">
                  <c:v>2000000</c:v>
                </c:pt>
                <c:pt idx="3">
                  <c:v>3000000</c:v>
                </c:pt>
                <c:pt idx="4">
                  <c:v>4000000</c:v>
                </c:pt>
                <c:pt idx="5">
                  <c:v>5000000</c:v>
                </c:pt>
                <c:pt idx="6">
                  <c:v>6000000</c:v>
                </c:pt>
                <c:pt idx="7">
                  <c:v>7000000</c:v>
                </c:pt>
                <c:pt idx="8">
                  <c:v>8000000</c:v>
                </c:pt>
                <c:pt idx="9">
                  <c:v>9000000</c:v>
                </c:pt>
                <c:pt idx="10">
                  <c:v>10000000</c:v>
                </c:pt>
                <c:pt idx="11">
                  <c:v>11000000</c:v>
                </c:pt>
                <c:pt idx="12">
                  <c:v>12000000</c:v>
                </c:pt>
                <c:pt idx="13">
                  <c:v>13000000</c:v>
                </c:pt>
                <c:pt idx="14">
                  <c:v>14000000</c:v>
                </c:pt>
                <c:pt idx="15">
                  <c:v>15000000</c:v>
                </c:pt>
                <c:pt idx="16">
                  <c:v>16000000</c:v>
                </c:pt>
              </c:numCache>
            </c:numRef>
          </c:cat>
          <c:val>
            <c:numRef>
              <c:f>'E-Costos'!$B$165:$B$181</c:f>
              <c:numCache>
                <c:formatCode>_(\$* #,##0.00_);_(\$* \(#,##0.00\);_(\$* \-??_);_(@_)</c:formatCode>
                <c:ptCount val="17"/>
                <c:pt idx="0">
                  <c:v>52456721.775200658</c:v>
                </c:pt>
                <c:pt idx="1">
                  <c:v>52456721.775200658</c:v>
                </c:pt>
                <c:pt idx="2">
                  <c:v>52456721.775200658</c:v>
                </c:pt>
                <c:pt idx="3">
                  <c:v>52456721.775200658</c:v>
                </c:pt>
                <c:pt idx="4">
                  <c:v>52456721.775200658</c:v>
                </c:pt>
                <c:pt idx="5">
                  <c:v>52456721.775200658</c:v>
                </c:pt>
                <c:pt idx="6">
                  <c:v>52456721.775200658</c:v>
                </c:pt>
                <c:pt idx="7">
                  <c:v>52456721.775200658</c:v>
                </c:pt>
                <c:pt idx="8">
                  <c:v>52456721.775200658</c:v>
                </c:pt>
                <c:pt idx="9">
                  <c:v>52456721.775200658</c:v>
                </c:pt>
                <c:pt idx="10">
                  <c:v>52456721.775200658</c:v>
                </c:pt>
                <c:pt idx="11">
                  <c:v>52456721.775200658</c:v>
                </c:pt>
                <c:pt idx="12">
                  <c:v>52456721.775200658</c:v>
                </c:pt>
                <c:pt idx="13">
                  <c:v>52456721.775200658</c:v>
                </c:pt>
                <c:pt idx="14">
                  <c:v>52456721.775200658</c:v>
                </c:pt>
                <c:pt idx="15">
                  <c:v>52456721.775200658</c:v>
                </c:pt>
                <c:pt idx="16">
                  <c:v>52456721.775200658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AC-46A3-B251-5EDE2B8DA72B}"/>
            </c:ext>
          </c:extLst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'E-Costos'!$A$165:$A$181</c:f>
              <c:numCache>
                <c:formatCode>General</c:formatCode>
                <c:ptCount val="17"/>
                <c:pt idx="0">
                  <c:v>0</c:v>
                </c:pt>
                <c:pt idx="1">
                  <c:v>1000000</c:v>
                </c:pt>
                <c:pt idx="2">
                  <c:v>2000000</c:v>
                </c:pt>
                <c:pt idx="3">
                  <c:v>3000000</c:v>
                </c:pt>
                <c:pt idx="4">
                  <c:v>4000000</c:v>
                </c:pt>
                <c:pt idx="5">
                  <c:v>5000000</c:v>
                </c:pt>
                <c:pt idx="6">
                  <c:v>6000000</c:v>
                </c:pt>
                <c:pt idx="7">
                  <c:v>7000000</c:v>
                </c:pt>
                <c:pt idx="8">
                  <c:v>8000000</c:v>
                </c:pt>
                <c:pt idx="9">
                  <c:v>9000000</c:v>
                </c:pt>
                <c:pt idx="10">
                  <c:v>10000000</c:v>
                </c:pt>
                <c:pt idx="11">
                  <c:v>11000000</c:v>
                </c:pt>
                <c:pt idx="12">
                  <c:v>12000000</c:v>
                </c:pt>
                <c:pt idx="13">
                  <c:v>13000000</c:v>
                </c:pt>
                <c:pt idx="14">
                  <c:v>14000000</c:v>
                </c:pt>
                <c:pt idx="15">
                  <c:v>15000000</c:v>
                </c:pt>
                <c:pt idx="16">
                  <c:v>16000000</c:v>
                </c:pt>
              </c:numCache>
            </c:numRef>
          </c:cat>
          <c:val>
            <c:numRef>
              <c:f>'E-Costos'!$C$165:$C$181</c:f>
              <c:numCache>
                <c:formatCode>"$"#,##0.00</c:formatCode>
                <c:ptCount val="17"/>
                <c:pt idx="0">
                  <c:v>0</c:v>
                </c:pt>
                <c:pt idx="1">
                  <c:v>9301918.3778286465</c:v>
                </c:pt>
                <c:pt idx="2">
                  <c:v>18603836.755657293</c:v>
                </c:pt>
                <c:pt idx="3">
                  <c:v>27905755.133485936</c:v>
                </c:pt>
                <c:pt idx="4">
                  <c:v>37207673.511314586</c:v>
                </c:pt>
                <c:pt idx="5">
                  <c:v>46509591.889143221</c:v>
                </c:pt>
                <c:pt idx="6">
                  <c:v>55811510.266971871</c:v>
                </c:pt>
                <c:pt idx="7">
                  <c:v>65113428.644800521</c:v>
                </c:pt>
                <c:pt idx="8">
                  <c:v>74415347.022629172</c:v>
                </c:pt>
                <c:pt idx="9">
                  <c:v>83717265.400457799</c:v>
                </c:pt>
                <c:pt idx="10">
                  <c:v>93019183.778286442</c:v>
                </c:pt>
                <c:pt idx="11">
                  <c:v>102321102.1561151</c:v>
                </c:pt>
                <c:pt idx="12">
                  <c:v>111623020.53394374</c:v>
                </c:pt>
                <c:pt idx="13">
                  <c:v>120924938.91177239</c:v>
                </c:pt>
                <c:pt idx="14">
                  <c:v>130226857.28960104</c:v>
                </c:pt>
                <c:pt idx="15">
                  <c:v>139528775.66742969</c:v>
                </c:pt>
                <c:pt idx="16">
                  <c:v>148830694.04525834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AC-46A3-B251-5EDE2B8DA72B}"/>
            </c:ext>
          </c:extLst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'E-Costos'!$A$165:$A$181</c:f>
              <c:numCache>
                <c:formatCode>General</c:formatCode>
                <c:ptCount val="17"/>
                <c:pt idx="0">
                  <c:v>0</c:v>
                </c:pt>
                <c:pt idx="1">
                  <c:v>1000000</c:v>
                </c:pt>
                <c:pt idx="2">
                  <c:v>2000000</c:v>
                </c:pt>
                <c:pt idx="3">
                  <c:v>3000000</c:v>
                </c:pt>
                <c:pt idx="4">
                  <c:v>4000000</c:v>
                </c:pt>
                <c:pt idx="5">
                  <c:v>5000000</c:v>
                </c:pt>
                <c:pt idx="6">
                  <c:v>6000000</c:v>
                </c:pt>
                <c:pt idx="7">
                  <c:v>7000000</c:v>
                </c:pt>
                <c:pt idx="8">
                  <c:v>8000000</c:v>
                </c:pt>
                <c:pt idx="9">
                  <c:v>9000000</c:v>
                </c:pt>
                <c:pt idx="10">
                  <c:v>10000000</c:v>
                </c:pt>
                <c:pt idx="11">
                  <c:v>11000000</c:v>
                </c:pt>
                <c:pt idx="12">
                  <c:v>12000000</c:v>
                </c:pt>
                <c:pt idx="13">
                  <c:v>13000000</c:v>
                </c:pt>
                <c:pt idx="14">
                  <c:v>14000000</c:v>
                </c:pt>
                <c:pt idx="15">
                  <c:v>15000000</c:v>
                </c:pt>
                <c:pt idx="16">
                  <c:v>16000000</c:v>
                </c:pt>
              </c:numCache>
            </c:numRef>
          </c:cat>
          <c:val>
            <c:numRef>
              <c:f>'E-Costos'!$D$165:$D$181</c:f>
              <c:numCache>
                <c:formatCode>_(\$* #,##0.00_);_(\$* \(#,##0.00\);_(\$* \-??_);_(@_)</c:formatCode>
                <c:ptCount val="17"/>
                <c:pt idx="0">
                  <c:v>52456721.775200658</c:v>
                </c:pt>
                <c:pt idx="1">
                  <c:v>61758640.153029308</c:v>
                </c:pt>
                <c:pt idx="2">
                  <c:v>71060558.53085795</c:v>
                </c:pt>
                <c:pt idx="3">
                  <c:v>80362476.908686593</c:v>
                </c:pt>
                <c:pt idx="4">
                  <c:v>89664395.286515236</c:v>
                </c:pt>
                <c:pt idx="5">
                  <c:v>98966313.664343879</c:v>
                </c:pt>
                <c:pt idx="6">
                  <c:v>108268232.04217252</c:v>
                </c:pt>
                <c:pt idx="7">
                  <c:v>117570150.42000118</c:v>
                </c:pt>
                <c:pt idx="8">
                  <c:v>126872068.79782984</c:v>
                </c:pt>
                <c:pt idx="9">
                  <c:v>136173987.17565846</c:v>
                </c:pt>
                <c:pt idx="10">
                  <c:v>145475905.55348709</c:v>
                </c:pt>
                <c:pt idx="11">
                  <c:v>154777823.93131575</c:v>
                </c:pt>
                <c:pt idx="12">
                  <c:v>164079742.30914441</c:v>
                </c:pt>
                <c:pt idx="13">
                  <c:v>173381660.68697304</c:v>
                </c:pt>
                <c:pt idx="14">
                  <c:v>182683579.06480169</c:v>
                </c:pt>
                <c:pt idx="15">
                  <c:v>191985497.44263035</c:v>
                </c:pt>
                <c:pt idx="16">
                  <c:v>201287415.82045901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AC-46A3-B251-5EDE2B8DA72B}"/>
            </c:ext>
          </c:extLst>
        </c:ser>
        <c:ser>
          <c:idx val="3"/>
          <c:order val="3"/>
          <c:spPr>
            <a:ln w="19050" cmpd="sng">
              <a:solidFill>
                <a:srgbClr val="109618"/>
              </a:solidFill>
            </a:ln>
          </c:spPr>
          <c:marker>
            <c:symbol val="none"/>
          </c:marker>
          <c:cat>
            <c:numRef>
              <c:f>'E-Costos'!$A$165:$A$181</c:f>
              <c:numCache>
                <c:formatCode>General</c:formatCode>
                <c:ptCount val="17"/>
                <c:pt idx="0">
                  <c:v>0</c:v>
                </c:pt>
                <c:pt idx="1">
                  <c:v>1000000</c:v>
                </c:pt>
                <c:pt idx="2">
                  <c:v>2000000</c:v>
                </c:pt>
                <c:pt idx="3">
                  <c:v>3000000</c:v>
                </c:pt>
                <c:pt idx="4">
                  <c:v>4000000</c:v>
                </c:pt>
                <c:pt idx="5">
                  <c:v>5000000</c:v>
                </c:pt>
                <c:pt idx="6">
                  <c:v>6000000</c:v>
                </c:pt>
                <c:pt idx="7">
                  <c:v>7000000</c:v>
                </c:pt>
                <c:pt idx="8">
                  <c:v>8000000</c:v>
                </c:pt>
                <c:pt idx="9">
                  <c:v>9000000</c:v>
                </c:pt>
                <c:pt idx="10">
                  <c:v>10000000</c:v>
                </c:pt>
                <c:pt idx="11">
                  <c:v>11000000</c:v>
                </c:pt>
                <c:pt idx="12">
                  <c:v>12000000</c:v>
                </c:pt>
                <c:pt idx="13">
                  <c:v>13000000</c:v>
                </c:pt>
                <c:pt idx="14">
                  <c:v>14000000</c:v>
                </c:pt>
                <c:pt idx="15">
                  <c:v>15000000</c:v>
                </c:pt>
                <c:pt idx="16">
                  <c:v>16000000</c:v>
                </c:pt>
              </c:numCache>
            </c:numRef>
          </c:cat>
          <c:val>
            <c:numRef>
              <c:f>'E-Costos'!$E$165:$E$181</c:f>
              <c:numCache>
                <c:formatCode>General</c:formatCode>
                <c:ptCount val="17"/>
                <c:pt idx="0">
                  <c:v>0</c:v>
                </c:pt>
                <c:pt idx="1">
                  <c:v>14000000</c:v>
                </c:pt>
                <c:pt idx="2">
                  <c:v>28000000</c:v>
                </c:pt>
                <c:pt idx="3">
                  <c:v>42000000</c:v>
                </c:pt>
                <c:pt idx="4">
                  <c:v>56000000</c:v>
                </c:pt>
                <c:pt idx="5">
                  <c:v>70000000</c:v>
                </c:pt>
                <c:pt idx="6">
                  <c:v>84000000</c:v>
                </c:pt>
                <c:pt idx="7">
                  <c:v>98000000</c:v>
                </c:pt>
                <c:pt idx="8">
                  <c:v>112000000</c:v>
                </c:pt>
                <c:pt idx="9">
                  <c:v>126000000</c:v>
                </c:pt>
                <c:pt idx="10">
                  <c:v>140000000</c:v>
                </c:pt>
                <c:pt idx="11">
                  <c:v>154000000</c:v>
                </c:pt>
                <c:pt idx="12">
                  <c:v>168000000</c:v>
                </c:pt>
                <c:pt idx="13">
                  <c:v>182000000</c:v>
                </c:pt>
                <c:pt idx="14">
                  <c:v>196000000</c:v>
                </c:pt>
                <c:pt idx="15">
                  <c:v>210000000</c:v>
                </c:pt>
                <c:pt idx="16">
                  <c:v>224000000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AC-46A3-B251-5EDE2B8D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54880"/>
        <c:axId val="99393536"/>
      </c:lineChart>
      <c:catAx>
        <c:axId val="9935488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s-ES"/>
          </a:p>
        </c:txPr>
        <c:crossAx val="99393536"/>
        <c:crosses val="autoZero"/>
        <c:auto val="1"/>
        <c:lblAlgn val="ctr"/>
        <c:lblOffset val="100"/>
        <c:noMultiLvlLbl val="1"/>
      </c:catAx>
      <c:valAx>
        <c:axId val="993935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(\$* #,##0.00_);_(\$* \(#,##0.00\);_(\$* \-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ES"/>
          </a:p>
        </c:txPr>
        <c:crossAx val="9935488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Costo fijo</c:v>
          </c:tx>
          <c:marker>
            <c:symbol val="none"/>
          </c:marker>
          <c:val>
            <c:numRef>
              <c:f>'F-2 Estructura'!$B$49:$B$65</c:f>
              <c:numCache>
                <c:formatCode>_(\$* #,##0.00_);_(\$* \(#,##0.00\);_(\$* \-??_);_(@_)</c:formatCode>
                <c:ptCount val="17"/>
                <c:pt idx="0">
                  <c:v>53487176.892222084</c:v>
                </c:pt>
                <c:pt idx="1">
                  <c:v>53487176.892222084</c:v>
                </c:pt>
                <c:pt idx="2">
                  <c:v>53487176.892222084</c:v>
                </c:pt>
                <c:pt idx="3">
                  <c:v>53487176.892222084</c:v>
                </c:pt>
                <c:pt idx="4">
                  <c:v>53487176.892222084</c:v>
                </c:pt>
                <c:pt idx="5">
                  <c:v>53487176.892222084</c:v>
                </c:pt>
                <c:pt idx="6">
                  <c:v>53487176.892222084</c:v>
                </c:pt>
                <c:pt idx="7">
                  <c:v>53487176.892222084</c:v>
                </c:pt>
                <c:pt idx="8">
                  <c:v>53487176.892222084</c:v>
                </c:pt>
                <c:pt idx="9">
                  <c:v>53487176.892222084</c:v>
                </c:pt>
                <c:pt idx="10">
                  <c:v>53487176.892222084</c:v>
                </c:pt>
                <c:pt idx="11">
                  <c:v>53487176.892222084</c:v>
                </c:pt>
                <c:pt idx="12">
                  <c:v>53487176.892222084</c:v>
                </c:pt>
                <c:pt idx="13">
                  <c:v>53487176.892222084</c:v>
                </c:pt>
                <c:pt idx="14">
                  <c:v>53487176.892222084</c:v>
                </c:pt>
                <c:pt idx="15">
                  <c:v>53487176.892222084</c:v>
                </c:pt>
                <c:pt idx="16">
                  <c:v>53487176.892222084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5-4298-9418-FA02C56F143F}"/>
            </c:ext>
          </c:extLst>
        </c:ser>
        <c:ser>
          <c:idx val="1"/>
          <c:order val="1"/>
          <c:tx>
            <c:v>Costo variable</c:v>
          </c:tx>
          <c:marker>
            <c:symbol val="none"/>
          </c:marker>
          <c:val>
            <c:numRef>
              <c:f>'F-2 Estructura'!$C$49:$C$65</c:f>
              <c:numCache>
                <c:formatCode>"$"#,##0.00</c:formatCode>
                <c:ptCount val="17"/>
                <c:pt idx="0">
                  <c:v>0</c:v>
                </c:pt>
                <c:pt idx="1">
                  <c:v>9525471.6772140432</c:v>
                </c:pt>
                <c:pt idx="2">
                  <c:v>19050943.354428086</c:v>
                </c:pt>
                <c:pt idx="3">
                  <c:v>28576415.031642132</c:v>
                </c:pt>
                <c:pt idx="4">
                  <c:v>38101886.708856173</c:v>
                </c:pt>
                <c:pt idx="5">
                  <c:v>47627358.386070214</c:v>
                </c:pt>
                <c:pt idx="6">
                  <c:v>57152830.063284263</c:v>
                </c:pt>
                <c:pt idx="7">
                  <c:v>66678301.740498297</c:v>
                </c:pt>
                <c:pt idx="8">
                  <c:v>76203773.417712346</c:v>
                </c:pt>
                <c:pt idx="9">
                  <c:v>85729245.094926387</c:v>
                </c:pt>
                <c:pt idx="10">
                  <c:v>95254716.772140428</c:v>
                </c:pt>
                <c:pt idx="11">
                  <c:v>104780188.44935447</c:v>
                </c:pt>
                <c:pt idx="12">
                  <c:v>114305660.12656853</c:v>
                </c:pt>
                <c:pt idx="13">
                  <c:v>123831131.80378257</c:v>
                </c:pt>
                <c:pt idx="14">
                  <c:v>133356603.48099659</c:v>
                </c:pt>
                <c:pt idx="15">
                  <c:v>142882075.15821064</c:v>
                </c:pt>
                <c:pt idx="16">
                  <c:v>152407546.83542469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5-4298-9418-FA02C56F143F}"/>
            </c:ext>
          </c:extLst>
        </c:ser>
        <c:ser>
          <c:idx val="2"/>
          <c:order val="2"/>
          <c:tx>
            <c:v>Costo total</c:v>
          </c:tx>
          <c:marker>
            <c:symbol val="none"/>
          </c:marker>
          <c:val>
            <c:numRef>
              <c:f>'F-2 Estructura'!$D$49:$D$65</c:f>
              <c:numCache>
                <c:formatCode>"$"#,##0.00</c:formatCode>
                <c:ptCount val="17"/>
                <c:pt idx="0">
                  <c:v>53487176.892222084</c:v>
                </c:pt>
                <c:pt idx="1">
                  <c:v>63012648.569436125</c:v>
                </c:pt>
                <c:pt idx="2">
                  <c:v>72538120.246650174</c:v>
                </c:pt>
                <c:pt idx="3">
                  <c:v>82063591.923864216</c:v>
                </c:pt>
                <c:pt idx="4">
                  <c:v>91589063.601078257</c:v>
                </c:pt>
                <c:pt idx="5">
                  <c:v>101114535.2782923</c:v>
                </c:pt>
                <c:pt idx="6">
                  <c:v>110640006.95550635</c:v>
                </c:pt>
                <c:pt idx="7">
                  <c:v>120165478.63272038</c:v>
                </c:pt>
                <c:pt idx="8">
                  <c:v>129690950.30993444</c:v>
                </c:pt>
                <c:pt idx="9">
                  <c:v>139216421.98714846</c:v>
                </c:pt>
                <c:pt idx="10">
                  <c:v>148741893.66436252</c:v>
                </c:pt>
                <c:pt idx="11">
                  <c:v>158267365.34157655</c:v>
                </c:pt>
                <c:pt idx="12">
                  <c:v>167792837.0187906</c:v>
                </c:pt>
                <c:pt idx="13">
                  <c:v>177318308.69600466</c:v>
                </c:pt>
                <c:pt idx="14">
                  <c:v>186843780.37321869</c:v>
                </c:pt>
                <c:pt idx="15">
                  <c:v>196369252.05043271</c:v>
                </c:pt>
                <c:pt idx="16">
                  <c:v>205894723.72764677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45-4298-9418-FA02C56F143F}"/>
            </c:ext>
          </c:extLst>
        </c:ser>
        <c:ser>
          <c:idx val="3"/>
          <c:order val="3"/>
          <c:tx>
            <c:v>Ventas</c:v>
          </c:tx>
          <c:marker>
            <c:symbol val="none"/>
          </c:marker>
          <c:val>
            <c:numRef>
              <c:f>'F-2 Estructura'!$E$49:$E$65</c:f>
              <c:numCache>
                <c:formatCode>"$"#,##0.00</c:formatCode>
                <c:ptCount val="17"/>
                <c:pt idx="0">
                  <c:v>0</c:v>
                </c:pt>
                <c:pt idx="1">
                  <c:v>14000000</c:v>
                </c:pt>
                <c:pt idx="2">
                  <c:v>28000000</c:v>
                </c:pt>
                <c:pt idx="3">
                  <c:v>42000000</c:v>
                </c:pt>
                <c:pt idx="4">
                  <c:v>56000000</c:v>
                </c:pt>
                <c:pt idx="5">
                  <c:v>70000000</c:v>
                </c:pt>
                <c:pt idx="6">
                  <c:v>84000000</c:v>
                </c:pt>
                <c:pt idx="7">
                  <c:v>98000000</c:v>
                </c:pt>
                <c:pt idx="8">
                  <c:v>112000000</c:v>
                </c:pt>
                <c:pt idx="9">
                  <c:v>126000000</c:v>
                </c:pt>
                <c:pt idx="10">
                  <c:v>140000000</c:v>
                </c:pt>
                <c:pt idx="11">
                  <c:v>154000000</c:v>
                </c:pt>
                <c:pt idx="12">
                  <c:v>168000000</c:v>
                </c:pt>
                <c:pt idx="13">
                  <c:v>182000000</c:v>
                </c:pt>
                <c:pt idx="14">
                  <c:v>196000000</c:v>
                </c:pt>
                <c:pt idx="15">
                  <c:v>210000000</c:v>
                </c:pt>
                <c:pt idx="16">
                  <c:v>224000000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45-4298-9418-FA02C56F1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25664"/>
        <c:axId val="108227200"/>
      </c:lineChart>
      <c:catAx>
        <c:axId val="10822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227200"/>
        <c:crosses val="autoZero"/>
        <c:auto val="1"/>
        <c:lblAlgn val="ctr"/>
        <c:lblOffset val="100"/>
        <c:noMultiLvlLbl val="0"/>
      </c:catAx>
      <c:valAx>
        <c:axId val="108227200"/>
        <c:scaling>
          <c:orientation val="minMax"/>
        </c:scaling>
        <c:delete val="0"/>
        <c:axPos val="l"/>
        <c:majorGridlines/>
        <c:numFmt formatCode="_(\$* #,##0.00_);_(\$* \(#,##0.00\);_(\$* \-??_);_(@_)" sourceLinked="1"/>
        <c:majorTickMark val="out"/>
        <c:minorTickMark val="none"/>
        <c:tickLblPos val="nextTo"/>
        <c:crossAx val="108225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Costo fijo</c:v>
          </c:tx>
          <c:marker>
            <c:symbol val="none"/>
          </c:marker>
          <c:val>
            <c:numRef>
              <c:f>'F-2 Estructura'!$B$70:$B$86</c:f>
              <c:numCache>
                <c:formatCode>_(\$* #,##0.00_);_(\$* \(#,##0.00\);_(\$* \-??_);_(@_)</c:formatCode>
                <c:ptCount val="17"/>
                <c:pt idx="0">
                  <c:v>53178907.67469354</c:v>
                </c:pt>
                <c:pt idx="1">
                  <c:v>53178907.67469354</c:v>
                </c:pt>
                <c:pt idx="2">
                  <c:v>53178907.67469354</c:v>
                </c:pt>
                <c:pt idx="3">
                  <c:v>53178907.67469354</c:v>
                </c:pt>
                <c:pt idx="4">
                  <c:v>53178907.67469354</c:v>
                </c:pt>
                <c:pt idx="5">
                  <c:v>53178907.67469354</c:v>
                </c:pt>
                <c:pt idx="6">
                  <c:v>53178907.67469354</c:v>
                </c:pt>
                <c:pt idx="7">
                  <c:v>53178907.67469354</c:v>
                </c:pt>
                <c:pt idx="8">
                  <c:v>53178907.67469354</c:v>
                </c:pt>
                <c:pt idx="9">
                  <c:v>53178907.67469354</c:v>
                </c:pt>
                <c:pt idx="10">
                  <c:v>53178907.67469354</c:v>
                </c:pt>
                <c:pt idx="11">
                  <c:v>53178907.67469354</c:v>
                </c:pt>
                <c:pt idx="12">
                  <c:v>53178907.67469354</c:v>
                </c:pt>
                <c:pt idx="13">
                  <c:v>53178907.67469354</c:v>
                </c:pt>
                <c:pt idx="14">
                  <c:v>53178907.67469354</c:v>
                </c:pt>
                <c:pt idx="15">
                  <c:v>53178907.67469354</c:v>
                </c:pt>
                <c:pt idx="16">
                  <c:v>53178907.67469354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0-4B41-B15B-D3CEC2107C21}"/>
            </c:ext>
          </c:extLst>
        </c:ser>
        <c:ser>
          <c:idx val="1"/>
          <c:order val="1"/>
          <c:tx>
            <c:v>Costo variable</c:v>
          </c:tx>
          <c:marker>
            <c:symbol val="none"/>
          </c:marker>
          <c:val>
            <c:numRef>
              <c:f>'F-2 Estructura'!$C$70:$C$86</c:f>
              <c:numCache>
                <c:formatCode>"$"#,##0.00</c:formatCode>
                <c:ptCount val="17"/>
                <c:pt idx="0">
                  <c:v>0</c:v>
                </c:pt>
                <c:pt idx="1">
                  <c:v>9301918.3778286465</c:v>
                </c:pt>
                <c:pt idx="2">
                  <c:v>18603836.755657293</c:v>
                </c:pt>
                <c:pt idx="3">
                  <c:v>27905755.133485936</c:v>
                </c:pt>
                <c:pt idx="4">
                  <c:v>37207673.511314586</c:v>
                </c:pt>
                <c:pt idx="5">
                  <c:v>46509591.889143221</c:v>
                </c:pt>
                <c:pt idx="6">
                  <c:v>55811510.266971871</c:v>
                </c:pt>
                <c:pt idx="7">
                  <c:v>65113428.644800521</c:v>
                </c:pt>
                <c:pt idx="8">
                  <c:v>74415347.022629172</c:v>
                </c:pt>
                <c:pt idx="9">
                  <c:v>83717265.400457799</c:v>
                </c:pt>
                <c:pt idx="10">
                  <c:v>93019183.778286442</c:v>
                </c:pt>
                <c:pt idx="11">
                  <c:v>102321102.1561151</c:v>
                </c:pt>
                <c:pt idx="12">
                  <c:v>111623020.53394374</c:v>
                </c:pt>
                <c:pt idx="13">
                  <c:v>120924938.91177239</c:v>
                </c:pt>
                <c:pt idx="14">
                  <c:v>130226857.28960104</c:v>
                </c:pt>
                <c:pt idx="15">
                  <c:v>139528775.66742969</c:v>
                </c:pt>
                <c:pt idx="16">
                  <c:v>148830694.04525834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0-4B41-B15B-D3CEC2107C21}"/>
            </c:ext>
          </c:extLst>
        </c:ser>
        <c:ser>
          <c:idx val="2"/>
          <c:order val="2"/>
          <c:tx>
            <c:v>Costo total</c:v>
          </c:tx>
          <c:marker>
            <c:symbol val="none"/>
          </c:marker>
          <c:val>
            <c:numRef>
              <c:f>'F-2 Estructura'!$D$70:$D$86</c:f>
              <c:numCache>
                <c:formatCode>"$"#,##0.00</c:formatCode>
                <c:ptCount val="17"/>
                <c:pt idx="0">
                  <c:v>53178907.67469354</c:v>
                </c:pt>
                <c:pt idx="1">
                  <c:v>62480826.052522182</c:v>
                </c:pt>
                <c:pt idx="2">
                  <c:v>71782744.43035084</c:v>
                </c:pt>
                <c:pt idx="3">
                  <c:v>81084662.808179468</c:v>
                </c:pt>
                <c:pt idx="4">
                  <c:v>90386581.186008126</c:v>
                </c:pt>
                <c:pt idx="5">
                  <c:v>99688499.563836753</c:v>
                </c:pt>
                <c:pt idx="6">
                  <c:v>108990417.94166541</c:v>
                </c:pt>
                <c:pt idx="7">
                  <c:v>118292336.31949407</c:v>
                </c:pt>
                <c:pt idx="8">
                  <c:v>127594254.69732271</c:v>
                </c:pt>
                <c:pt idx="9">
                  <c:v>136896173.07515132</c:v>
                </c:pt>
                <c:pt idx="10">
                  <c:v>146198091.45297998</c:v>
                </c:pt>
                <c:pt idx="11">
                  <c:v>155500009.83080864</c:v>
                </c:pt>
                <c:pt idx="12">
                  <c:v>164801928.2086373</c:v>
                </c:pt>
                <c:pt idx="13">
                  <c:v>174103846.58646592</c:v>
                </c:pt>
                <c:pt idx="14">
                  <c:v>183405764.96429458</c:v>
                </c:pt>
                <c:pt idx="15">
                  <c:v>192707683.34212321</c:v>
                </c:pt>
                <c:pt idx="16">
                  <c:v>202009601.71995187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0-4B41-B15B-D3CEC2107C21}"/>
            </c:ext>
          </c:extLst>
        </c:ser>
        <c:ser>
          <c:idx val="3"/>
          <c:order val="3"/>
          <c:tx>
            <c:v>Ventas</c:v>
          </c:tx>
          <c:marker>
            <c:symbol val="none"/>
          </c:marker>
          <c:val>
            <c:numRef>
              <c:f>'F-2 Estructura'!$E$70:$E$86</c:f>
              <c:numCache>
                <c:formatCode>"$"#,##0.00</c:formatCode>
                <c:ptCount val="17"/>
                <c:pt idx="0">
                  <c:v>0</c:v>
                </c:pt>
                <c:pt idx="1">
                  <c:v>14000000</c:v>
                </c:pt>
                <c:pt idx="2">
                  <c:v>28000000</c:v>
                </c:pt>
                <c:pt idx="3">
                  <c:v>42000000</c:v>
                </c:pt>
                <c:pt idx="4">
                  <c:v>56000000</c:v>
                </c:pt>
                <c:pt idx="5">
                  <c:v>70000000</c:v>
                </c:pt>
                <c:pt idx="6">
                  <c:v>84000000</c:v>
                </c:pt>
                <c:pt idx="7">
                  <c:v>98000000</c:v>
                </c:pt>
                <c:pt idx="8">
                  <c:v>112000000</c:v>
                </c:pt>
                <c:pt idx="9">
                  <c:v>126000000</c:v>
                </c:pt>
                <c:pt idx="10">
                  <c:v>140000000</c:v>
                </c:pt>
                <c:pt idx="11">
                  <c:v>154000000</c:v>
                </c:pt>
                <c:pt idx="12">
                  <c:v>168000000</c:v>
                </c:pt>
                <c:pt idx="13">
                  <c:v>182000000</c:v>
                </c:pt>
                <c:pt idx="14">
                  <c:v>196000000</c:v>
                </c:pt>
                <c:pt idx="15">
                  <c:v>210000000</c:v>
                </c:pt>
                <c:pt idx="16">
                  <c:v>224000000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30-4B41-B15B-D3CEC2107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356864"/>
        <c:axId val="118112640"/>
      </c:lineChart>
      <c:catAx>
        <c:axId val="12635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112640"/>
        <c:crosses val="autoZero"/>
        <c:auto val="1"/>
        <c:lblAlgn val="ctr"/>
        <c:lblOffset val="100"/>
        <c:noMultiLvlLbl val="0"/>
      </c:catAx>
      <c:valAx>
        <c:axId val="118112640"/>
        <c:scaling>
          <c:orientation val="minMax"/>
        </c:scaling>
        <c:delete val="0"/>
        <c:axPos val="l"/>
        <c:majorGridlines/>
        <c:numFmt formatCode="_(\$* #,##0.00_);_(\$* \(#,##0.00\);_(\$* \-??_);_(@_)" sourceLinked="1"/>
        <c:majorTickMark val="out"/>
        <c:minorTickMark val="none"/>
        <c:tickLblPos val="nextTo"/>
        <c:crossAx val="126356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714375</xdr:colOff>
      <xdr:row>161</xdr:row>
      <xdr:rowOff>133350</xdr:rowOff>
    </xdr:from>
    <xdr:ext cx="5715000" cy="35337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47</xdr:row>
      <xdr:rowOff>133350</xdr:rowOff>
    </xdr:from>
    <xdr:to>
      <xdr:col>12</xdr:col>
      <xdr:colOff>238125</xdr:colOff>
      <xdr:row>64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68</xdr:row>
      <xdr:rowOff>47625</xdr:rowOff>
    </xdr:from>
    <xdr:to>
      <xdr:col>12</xdr:col>
      <xdr:colOff>142875</xdr:colOff>
      <xdr:row>85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rticulo.mercadolibre.com.ar/MLA-625958382-sal-fina-celusal-x-25-kg-_JM" TargetMode="External"/><Relationship Id="rId3" Type="http://schemas.openxmlformats.org/officeDocument/2006/relationships/hyperlink" Target="https://articulo.mercadolibre.com.ar/MLA-622785435-mezcladora-de-carne-190-lts-fineschi-acero-2-eje-trifasica-_JM" TargetMode="External"/><Relationship Id="rId7" Type="http://schemas.openxmlformats.org/officeDocument/2006/relationships/hyperlink" Target="https://www.google.com.ar/url?sa=t&amp;rct=j&amp;q=&amp;esrc=s&amp;source=web&amp;cd=9&amp;ved=2ahUKEwiH4fOGns3dAhXGGZAKHSobAOkQFjAIegQICRAC&amp;url=http%3A%2F%2Fwww.ipcva.com.ar%2Fdocumentos%2F1486_1456326140_informemensualdepreciosn117.pdf&amp;usg=AOvVaw1b5jOmqK-xWQscAf85Qec3" TargetMode="External"/><Relationship Id="rId2" Type="http://schemas.openxmlformats.org/officeDocument/2006/relationships/hyperlink" Target="https://articulo.mercadolibre.com.ar/MLA-616070065-picadora-de-carne-industrial-fineschi-n42-3hp-trifasica-_JM" TargetMode="External"/><Relationship Id="rId1" Type="http://schemas.openxmlformats.org/officeDocument/2006/relationships/hyperlink" Target="https://articulo.mercadolibre.com.ar/MLA-677029584-sierra-carnicera-carnic-2400-p-_JM" TargetMode="External"/><Relationship Id="rId6" Type="http://schemas.openxmlformats.org/officeDocument/2006/relationships/hyperlink" Target="https://vehiculo.mercadolibre.com.ar/MLA-721406783-mercedes-benz-1215-furgon-termico-1995-forcam-_JM" TargetMode="External"/><Relationship Id="rId5" Type="http://schemas.openxmlformats.org/officeDocument/2006/relationships/hyperlink" Target="https://articulo.mercadolibre.com.ar/MLA-746043948-camara-frigorifica-2x4x25-paneles-de-33-puerta-3hp-frances-_JM" TargetMode="External"/><Relationship Id="rId4" Type="http://schemas.openxmlformats.org/officeDocument/2006/relationships/hyperlink" Target="https://articulo.mercadolibre.com.ar/MLA-718928314-formadora-de-hamburguesas-gesame-mh-100-_JM" TargetMode="External"/><Relationship Id="rId9" Type="http://schemas.openxmlformats.org/officeDocument/2006/relationships/hyperlink" Target="http://www.edesur.com.ar/cuadro_tarifari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nmat.gov.ar/boletin_anmat/BO/Disposicion_1607-201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ncoprovincia.com.ar/CDN/Get/A5388_Banca_Empresa_tasas_costos_condiciones_vigentes" TargetMode="External"/><Relationship Id="rId1" Type="http://schemas.openxmlformats.org/officeDocument/2006/relationships/hyperlink" Target="https://www.bancoprovincia.com.ar/web/empresas_cap_trabajo_fi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workbookViewId="0"/>
  </sheetViews>
  <sheetFormatPr baseColWidth="10" defaultColWidth="14.42578125" defaultRowHeight="15" customHeight="1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7" customWidth="1"/>
    <col min="14" max="26" width="10" customWidth="1"/>
  </cols>
  <sheetData>
    <row r="1" spans="1:13" ht="12.75" customHeight="1">
      <c r="A1" s="2" t="s">
        <v>0</v>
      </c>
      <c r="E1" s="3">
        <v>4</v>
      </c>
    </row>
    <row r="2" spans="1:13">
      <c r="G2" s="900" t="s">
        <v>2</v>
      </c>
      <c r="H2" s="901"/>
      <c r="I2" s="901"/>
      <c r="J2" s="901"/>
      <c r="K2" s="901"/>
      <c r="L2" s="901"/>
      <c r="M2" s="902"/>
    </row>
    <row r="3" spans="1:13" ht="14.25" customHeight="1">
      <c r="A3" s="9" t="s">
        <v>6</v>
      </c>
      <c r="B3" s="11">
        <v>0.21</v>
      </c>
      <c r="G3" s="903" t="s">
        <v>8</v>
      </c>
      <c r="H3" s="904"/>
      <c r="I3" s="904"/>
      <c r="J3" s="904"/>
      <c r="K3" s="904"/>
      <c r="L3" s="904"/>
      <c r="M3" s="905"/>
    </row>
    <row r="4" spans="1:13" ht="12.75" customHeight="1">
      <c r="A4" s="9" t="s">
        <v>9</v>
      </c>
      <c r="B4" s="11">
        <v>0.35</v>
      </c>
      <c r="G4" s="906"/>
      <c r="H4" s="907"/>
      <c r="I4" s="907"/>
      <c r="J4" s="907"/>
      <c r="K4" s="907"/>
      <c r="L4" s="907"/>
      <c r="M4" s="908"/>
    </row>
    <row r="5" spans="1:13" ht="12.75" customHeight="1">
      <c r="A5" s="9" t="s">
        <v>10</v>
      </c>
      <c r="B5" s="15">
        <v>2.5000000000000001E-2</v>
      </c>
      <c r="C5" t="s">
        <v>12</v>
      </c>
      <c r="G5" s="906"/>
      <c r="H5" s="907"/>
      <c r="I5" s="907"/>
      <c r="J5" s="907"/>
      <c r="K5" s="907"/>
      <c r="L5" s="907"/>
      <c r="M5" s="908"/>
    </row>
    <row r="6" spans="1:13" ht="12.75" customHeight="1">
      <c r="G6" s="909"/>
      <c r="H6" s="910"/>
      <c r="I6" s="910"/>
      <c r="J6" s="910"/>
      <c r="K6" s="910"/>
      <c r="L6" s="910"/>
      <c r="M6" s="911"/>
    </row>
    <row r="7" spans="1:13" ht="14.25" customHeight="1">
      <c r="A7" s="9" t="s">
        <v>15</v>
      </c>
      <c r="B7" t="s">
        <v>16</v>
      </c>
      <c r="G7" s="912" t="s">
        <v>17</v>
      </c>
      <c r="H7" s="904"/>
      <c r="I7" s="904"/>
      <c r="J7" s="904"/>
      <c r="K7" s="904"/>
      <c r="L7" s="904"/>
      <c r="M7" s="905"/>
    </row>
    <row r="8" spans="1:13" ht="12.75" customHeight="1">
      <c r="A8" s="25" t="s">
        <v>23</v>
      </c>
      <c r="B8" s="27">
        <v>30</v>
      </c>
      <c r="C8" t="s">
        <v>24</v>
      </c>
      <c r="G8" s="909"/>
      <c r="H8" s="910"/>
      <c r="I8" s="910"/>
      <c r="J8" s="910"/>
      <c r="K8" s="910"/>
      <c r="L8" s="910"/>
      <c r="M8" s="911"/>
    </row>
    <row r="9" spans="1:13" ht="12.75" customHeight="1">
      <c r="A9" s="25" t="s">
        <v>25</v>
      </c>
      <c r="B9" s="27">
        <v>10</v>
      </c>
      <c r="C9" t="s">
        <v>24</v>
      </c>
      <c r="G9" s="913" t="s">
        <v>26</v>
      </c>
      <c r="H9" s="901"/>
      <c r="I9" s="901"/>
      <c r="J9" s="901"/>
      <c r="K9" s="901"/>
      <c r="L9" s="901"/>
      <c r="M9" s="902"/>
    </row>
    <row r="10" spans="1:13" ht="14.25" customHeight="1">
      <c r="A10" s="25" t="s">
        <v>27</v>
      </c>
      <c r="B10" s="27">
        <v>10</v>
      </c>
      <c r="C10" t="s">
        <v>24</v>
      </c>
      <c r="G10" s="912" t="s">
        <v>28</v>
      </c>
      <c r="H10" s="904"/>
      <c r="I10" s="904"/>
      <c r="J10" s="904"/>
      <c r="K10" s="904"/>
      <c r="L10" s="904"/>
      <c r="M10" s="905"/>
    </row>
    <row r="11" spans="1:13" ht="12.75" customHeight="1">
      <c r="A11" s="25" t="s">
        <v>29</v>
      </c>
      <c r="B11" s="27">
        <v>5</v>
      </c>
      <c r="C11" t="s">
        <v>24</v>
      </c>
      <c r="G11" s="909"/>
      <c r="H11" s="910"/>
      <c r="I11" s="910"/>
      <c r="J11" s="910"/>
      <c r="K11" s="910"/>
      <c r="L11" s="910"/>
      <c r="M11" s="911"/>
    </row>
    <row r="12" spans="1:13" ht="14.25" customHeight="1">
      <c r="A12" s="25" t="s">
        <v>30</v>
      </c>
      <c r="B12" s="27">
        <v>5</v>
      </c>
      <c r="C12" t="s">
        <v>24</v>
      </c>
      <c r="G12" s="912" t="s">
        <v>31</v>
      </c>
      <c r="H12" s="904"/>
      <c r="I12" s="904"/>
      <c r="J12" s="904"/>
      <c r="K12" s="904"/>
      <c r="L12" s="904"/>
      <c r="M12" s="905"/>
    </row>
    <row r="13" spans="1:13" ht="12.75" customHeight="1">
      <c r="A13" s="25" t="s">
        <v>32</v>
      </c>
      <c r="B13" s="27">
        <v>3</v>
      </c>
      <c r="C13" t="s">
        <v>24</v>
      </c>
      <c r="G13" s="909"/>
      <c r="H13" s="910"/>
      <c r="I13" s="910"/>
      <c r="J13" s="910"/>
      <c r="K13" s="910"/>
      <c r="L13" s="910"/>
      <c r="M13" s="911"/>
    </row>
    <row r="14" spans="1:13" ht="12.75" customHeight="1">
      <c r="A14" s="25" t="s">
        <v>33</v>
      </c>
      <c r="B14" s="27">
        <v>5</v>
      </c>
      <c r="C14" t="s">
        <v>24</v>
      </c>
    </row>
    <row r="15" spans="1:13" ht="12.75" customHeight="1">
      <c r="A15" s="25" t="s">
        <v>34</v>
      </c>
      <c r="B15" s="29">
        <v>7.4999999999999997E-2</v>
      </c>
    </row>
    <row r="16" spans="1:13" ht="12.75" customHeight="1"/>
    <row r="17" spans="1:7" ht="12.75" customHeight="1">
      <c r="A17" s="9" t="s">
        <v>35</v>
      </c>
      <c r="B17" s="30" t="s">
        <v>36</v>
      </c>
      <c r="C17" s="31"/>
      <c r="D17" s="31"/>
      <c r="E17" s="31"/>
      <c r="F17" s="31"/>
      <c r="G17" s="32"/>
    </row>
    <row r="18" spans="1:7" ht="12.75" customHeight="1"/>
    <row r="19" spans="1:7" ht="12.75" customHeight="1">
      <c r="A19" s="9" t="s">
        <v>37</v>
      </c>
      <c r="B19" s="33">
        <v>28181250</v>
      </c>
      <c r="C19" t="s">
        <v>38</v>
      </c>
      <c r="E19" t="s">
        <v>39</v>
      </c>
    </row>
    <row r="20" spans="1:7" ht="12.75" customHeight="1">
      <c r="A20" s="9" t="s">
        <v>40</v>
      </c>
      <c r="B20" s="34">
        <v>14</v>
      </c>
      <c r="C20" t="s">
        <v>41</v>
      </c>
      <c r="E20" t="s">
        <v>39</v>
      </c>
    </row>
    <row r="21" spans="1:7" ht="12.75" customHeight="1"/>
    <row r="22" spans="1:7" ht="12.75" customHeight="1">
      <c r="A22" s="9" t="s">
        <v>42</v>
      </c>
    </row>
    <row r="23" spans="1:7" ht="12.75" customHeight="1">
      <c r="A23" s="9" t="s">
        <v>43</v>
      </c>
      <c r="B23" s="33">
        <v>16</v>
      </c>
      <c r="C23" t="s">
        <v>44</v>
      </c>
      <c r="E23" t="s">
        <v>45</v>
      </c>
    </row>
    <row r="24" spans="1:7" ht="12.75" customHeight="1">
      <c r="A24" s="9" t="s">
        <v>46</v>
      </c>
      <c r="B24" s="33">
        <v>3</v>
      </c>
      <c r="C24" t="s">
        <v>44</v>
      </c>
      <c r="E24" t="s">
        <v>45</v>
      </c>
    </row>
    <row r="25" spans="1:7" ht="12.75" customHeight="1">
      <c r="A25" s="9" t="s">
        <v>47</v>
      </c>
      <c r="B25" s="33">
        <v>4</v>
      </c>
      <c r="C25" t="s">
        <v>44</v>
      </c>
      <c r="E25" t="s">
        <v>45</v>
      </c>
    </row>
    <row r="26" spans="1:7" ht="12.75" customHeight="1"/>
    <row r="27" spans="1:7" ht="12.75" customHeight="1">
      <c r="A27" s="9" t="s">
        <v>48</v>
      </c>
      <c r="B27" s="33">
        <v>398.35</v>
      </c>
      <c r="C27" t="s">
        <v>49</v>
      </c>
      <c r="E27" t="s">
        <v>50</v>
      </c>
    </row>
    <row r="28" spans="1:7" ht="12.75" customHeight="1">
      <c r="A28" s="9" t="s">
        <v>51</v>
      </c>
      <c r="B28" s="33">
        <v>12</v>
      </c>
      <c r="C28" t="s">
        <v>52</v>
      </c>
      <c r="E28" t="s">
        <v>45</v>
      </c>
    </row>
    <row r="29" spans="1:7" ht="12.75" customHeight="1">
      <c r="A29" s="9" t="s">
        <v>53</v>
      </c>
      <c r="B29" s="33">
        <v>3</v>
      </c>
      <c r="C29" t="s">
        <v>52</v>
      </c>
      <c r="E29" t="s">
        <v>45</v>
      </c>
    </row>
    <row r="30" spans="1:7" ht="12.75" customHeight="1"/>
    <row r="31" spans="1:7" ht="12.75" customHeight="1"/>
    <row r="32" spans="1:7" ht="12.75" customHeight="1">
      <c r="A32" s="9" t="s">
        <v>54</v>
      </c>
      <c r="B32" s="33">
        <v>40</v>
      </c>
      <c r="C32" t="s">
        <v>55</v>
      </c>
      <c r="D32" s="33">
        <v>1</v>
      </c>
      <c r="E32" t="s">
        <v>56</v>
      </c>
    </row>
    <row r="33" spans="1:7" ht="12.75" customHeight="1">
      <c r="A33" s="35"/>
    </row>
    <row r="34" spans="1:7" ht="12.75" customHeight="1">
      <c r="A34" s="35"/>
    </row>
    <row r="35" spans="1:7" ht="12.75" customHeight="1">
      <c r="A35" s="9" t="s">
        <v>57</v>
      </c>
      <c r="B35" s="36">
        <v>0.28000000000000003</v>
      </c>
      <c r="C35" t="s">
        <v>58</v>
      </c>
      <c r="G35" s="37" t="s">
        <v>59</v>
      </c>
    </row>
    <row r="36" spans="1:7" ht="12.75" customHeight="1">
      <c r="A36" s="9" t="s">
        <v>60</v>
      </c>
      <c r="B36" s="897" t="s">
        <v>61</v>
      </c>
      <c r="C36" s="898"/>
      <c r="D36" s="899"/>
    </row>
    <row r="37" spans="1:7" ht="12.75" customHeight="1">
      <c r="A37" s="9" t="s">
        <v>62</v>
      </c>
      <c r="B37" s="38">
        <v>1</v>
      </c>
    </row>
    <row r="38" spans="1:7" ht="12.75" customHeight="1">
      <c r="A38" s="9"/>
    </row>
    <row r="39" spans="1:7" ht="12.75" customHeight="1">
      <c r="A39" s="9" t="s">
        <v>63</v>
      </c>
      <c r="B39" s="34">
        <v>30</v>
      </c>
    </row>
    <row r="40" spans="1:7" ht="12.75" customHeight="1">
      <c r="A40" s="9" t="s">
        <v>64</v>
      </c>
      <c r="B40" s="39">
        <v>0.5</v>
      </c>
    </row>
    <row r="41" spans="1:7" ht="12.75" customHeight="1">
      <c r="A41" s="9" t="s">
        <v>65</v>
      </c>
      <c r="B41" s="39">
        <v>0.24</v>
      </c>
      <c r="C41" t="s">
        <v>58</v>
      </c>
    </row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B36:D36"/>
    <mergeCell ref="G2:M2"/>
    <mergeCell ref="G3:M6"/>
    <mergeCell ref="G7:M8"/>
    <mergeCell ref="G9:M9"/>
    <mergeCell ref="G10:M11"/>
    <mergeCell ref="G12:M1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96"/>
  <sheetViews>
    <sheetView workbookViewId="0">
      <selection activeCell="B19" sqref="B19"/>
    </sheetView>
  </sheetViews>
  <sheetFormatPr baseColWidth="10" defaultColWidth="14.42578125" defaultRowHeight="15" customHeight="1"/>
  <cols>
    <col min="1" max="1" width="27.140625" customWidth="1"/>
    <col min="2" max="9" width="15" customWidth="1"/>
    <col min="10" max="10" width="15.42578125" customWidth="1"/>
    <col min="11" max="26" width="10" customWidth="1"/>
  </cols>
  <sheetData>
    <row r="1" spans="1:26" ht="12.75" customHeight="1">
      <c r="A1" s="2" t="s">
        <v>0</v>
      </c>
      <c r="E1" s="40"/>
      <c r="F1" s="688">
        <f>InfoInicial!E1</f>
        <v>4</v>
      </c>
      <c r="G1" s="3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690" t="s">
        <v>570</v>
      </c>
      <c r="B2" s="647"/>
      <c r="C2" s="647"/>
      <c r="D2" s="647"/>
      <c r="E2" s="647"/>
      <c r="F2" s="647"/>
      <c r="G2" s="648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2.75" customHeight="1">
      <c r="A3" s="510" t="s">
        <v>359</v>
      </c>
      <c r="B3" s="948" t="s">
        <v>572</v>
      </c>
      <c r="C3" s="949"/>
      <c r="D3" s="948" t="s">
        <v>575</v>
      </c>
      <c r="E3" s="949"/>
      <c r="F3" s="948" t="s">
        <v>580</v>
      </c>
      <c r="G3" s="95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 customHeight="1">
      <c r="A4" s="510" t="s">
        <v>122</v>
      </c>
      <c r="B4" s="600" t="s">
        <v>581</v>
      </c>
      <c r="C4" s="600" t="s">
        <v>170</v>
      </c>
      <c r="D4" s="600" t="s">
        <v>581</v>
      </c>
      <c r="E4" s="600" t="s">
        <v>170</v>
      </c>
      <c r="F4" s="600" t="s">
        <v>581</v>
      </c>
      <c r="G4" s="601" t="s">
        <v>170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52" t="s">
        <v>584</v>
      </c>
      <c r="B5" s="514">
        <f>'E-Form'!B4+'E-Form'!B5</f>
        <v>21969241.79146013</v>
      </c>
      <c r="C5" s="701">
        <f t="shared" ref="C5:C7" si="0">B5/$B$8</f>
        <v>0.21418886375783944</v>
      </c>
      <c r="D5" s="514">
        <f>InfoInicial!B37*('Calculos auxiliares'!E16+'Calculos auxiliares'!E19+'Calculos auxiliares'!E7)</f>
        <v>8974897.2945000008</v>
      </c>
      <c r="E5" s="701">
        <f>D5/$B$8</f>
        <v>8.7500655329830576E-2</v>
      </c>
      <c r="F5" s="514">
        <f t="shared" ref="F5:F6" si="1">B5-D5</f>
        <v>12994344.49696013</v>
      </c>
      <c r="G5" s="705">
        <f t="shared" ref="G5:G7" si="2">F5/$B$8</f>
        <v>0.12668820842800887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50" t="s">
        <v>588</v>
      </c>
      <c r="B6" s="514">
        <f>'E-Form'!C4+'E-Form'!C5</f>
        <v>67846189.261158675</v>
      </c>
      <c r="C6" s="701">
        <f t="shared" si="0"/>
        <v>0.66146562207694104</v>
      </c>
      <c r="D6" s="514">
        <f>'Apertura Financiera'!B12</f>
        <v>12333150.462078247</v>
      </c>
      <c r="E6" s="701">
        <f>D6/B8</f>
        <v>0.12024190498253165</v>
      </c>
      <c r="F6" s="514">
        <f t="shared" si="1"/>
        <v>55513038.799080431</v>
      </c>
      <c r="G6" s="705">
        <f t="shared" si="2"/>
        <v>0.54122371709440942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50" t="s">
        <v>590</v>
      </c>
      <c r="B7" s="514">
        <f>'E-Form'!D4+'E-Form'!D5</f>
        <v>12754055.549160903</v>
      </c>
      <c r="C7" s="701">
        <f t="shared" si="0"/>
        <v>0.12434551416521963</v>
      </c>
      <c r="D7" s="514"/>
      <c r="E7" s="651"/>
      <c r="F7" s="514">
        <f>B7</f>
        <v>12754055.549160903</v>
      </c>
      <c r="G7" s="705">
        <f t="shared" si="2"/>
        <v>0.12434551416521963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97" t="s">
        <v>211</v>
      </c>
      <c r="B8" s="551">
        <f>SUM(B5:B7)</f>
        <v>102569486.6017797</v>
      </c>
      <c r="C8" s="712">
        <f>C5+C6+C7</f>
        <v>1</v>
      </c>
      <c r="D8" s="551">
        <f t="shared" ref="D8:E8" si="3">SUM(D5:D6)</f>
        <v>21308047.756578248</v>
      </c>
      <c r="E8" s="714">
        <f t="shared" si="3"/>
        <v>0.20774256031236221</v>
      </c>
      <c r="F8" s="551">
        <f t="shared" ref="F8:G8" si="4">SUM(F5:F7)</f>
        <v>81261438.845201463</v>
      </c>
      <c r="G8" s="716">
        <f t="shared" si="4"/>
        <v>0.79225743968763795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35"/>
      <c r="B9" s="151"/>
      <c r="C9" s="718"/>
      <c r="D9" s="151"/>
      <c r="E9" s="151"/>
      <c r="F9" s="151"/>
      <c r="G9" s="151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.75" customHeight="1">
      <c r="A10" s="720" t="s">
        <v>592</v>
      </c>
      <c r="B10" s="722"/>
      <c r="C10" s="722"/>
      <c r="D10" s="722"/>
      <c r="E10" s="722"/>
      <c r="F10" s="722"/>
      <c r="G10" s="722"/>
      <c r="H10" s="722"/>
      <c r="I10" s="723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725" t="s">
        <v>573</v>
      </c>
      <c r="B11" s="726" t="s">
        <v>574</v>
      </c>
      <c r="C11" s="726" t="s">
        <v>576</v>
      </c>
      <c r="D11" s="726" t="s">
        <v>577</v>
      </c>
      <c r="E11" s="726" t="s">
        <v>576</v>
      </c>
      <c r="F11" s="726" t="s">
        <v>593</v>
      </c>
      <c r="G11" s="726" t="s">
        <v>577</v>
      </c>
      <c r="H11" s="726"/>
      <c r="I11" s="728" t="s">
        <v>579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731"/>
      <c r="B12" s="732"/>
      <c r="C12" s="732" t="s">
        <v>555</v>
      </c>
      <c r="D12" s="732" t="s">
        <v>555</v>
      </c>
      <c r="E12" s="732" t="s">
        <v>58</v>
      </c>
      <c r="F12" s="732" t="s">
        <v>594</v>
      </c>
      <c r="G12" s="732" t="s">
        <v>58</v>
      </c>
      <c r="H12" s="732" t="s">
        <v>595</v>
      </c>
      <c r="I12" s="734" t="s">
        <v>582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736" t="s">
        <v>596</v>
      </c>
      <c r="B13" s="638">
        <f>'Apertura Financiera'!B34</f>
        <v>4487448.6472500004</v>
      </c>
      <c r="C13" s="737">
        <v>0</v>
      </c>
      <c r="D13" s="737">
        <v>0</v>
      </c>
      <c r="E13" s="737">
        <v>0</v>
      </c>
      <c r="F13" s="101"/>
      <c r="G13" s="638"/>
      <c r="H13" s="738"/>
      <c r="I13" s="740">
        <f>'Apertura Financiera'!G34</f>
        <v>89748.972945000016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741" t="s">
        <v>587</v>
      </c>
      <c r="B14" s="514">
        <f>'Apertura Financiera'!B35</f>
        <v>8974897.2945000008</v>
      </c>
      <c r="C14" s="515">
        <v>0</v>
      </c>
      <c r="D14" s="514">
        <f>'Apertura Financiera'!D35</f>
        <v>190716.56750812504</v>
      </c>
      <c r="E14" s="515">
        <v>0</v>
      </c>
      <c r="F14" s="51"/>
      <c r="G14" s="514"/>
      <c r="H14" s="651"/>
      <c r="I14" s="517">
        <f>'Apertura Financiera'!G35</f>
        <v>89748.972945000016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741" t="s">
        <v>589</v>
      </c>
      <c r="B15" s="514">
        <f>'Apertura Financiera'!B36</f>
        <v>8974897.2945000008</v>
      </c>
      <c r="C15" s="515">
        <v>0</v>
      </c>
      <c r="D15" s="514">
        <f>'Apertura Financiera'!D36</f>
        <v>762866.27003250015</v>
      </c>
      <c r="E15" s="743">
        <f>C14+C15</f>
        <v>0</v>
      </c>
      <c r="F15" s="744">
        <f>(B15+B13)/2</f>
        <v>6731172.9708750006</v>
      </c>
      <c r="G15" s="744">
        <f>D14+D15</f>
        <v>953582.83754062513</v>
      </c>
      <c r="H15" s="651"/>
      <c r="I15" s="517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746"/>
      <c r="B16" s="561"/>
      <c r="C16" s="561"/>
      <c r="D16" s="561">
        <f>+D14+D15</f>
        <v>953582.83754062513</v>
      </c>
      <c r="E16" s="561"/>
      <c r="F16" s="59"/>
      <c r="G16" s="529">
        <f>+G15</f>
        <v>953582.83754062513</v>
      </c>
      <c r="H16" s="748"/>
      <c r="I16" s="633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9" t="s">
        <v>591</v>
      </c>
      <c r="B17" s="749"/>
      <c r="C17" s="750"/>
      <c r="D17" s="751">
        <f>SUM(D13:D15)</f>
        <v>953582.83754062513</v>
      </c>
      <c r="E17" s="750"/>
      <c r="F17" s="753"/>
      <c r="G17" s="751">
        <f>SUM(D13:D15)</f>
        <v>953582.83754062513</v>
      </c>
      <c r="H17" s="755"/>
      <c r="I17" s="756">
        <f>SUM(I13:I15)</f>
        <v>179497.94589000003</v>
      </c>
      <c r="J17" s="757">
        <f>G17+I17</f>
        <v>1133080.7834306252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760">
        <v>37072</v>
      </c>
      <c r="B18" s="512">
        <f>'Apertura Financiera'!B38+'Apertura Financiera'!B53</f>
        <v>8077407.5650500003</v>
      </c>
      <c r="C18" s="512">
        <f>'Apertura Financiera'!C38</f>
        <v>897489.7294500001</v>
      </c>
      <c r="D18" s="512">
        <f>'Apertura Financiera'!D38+'Apertura Financiera'!C53</f>
        <v>762866.27003250015</v>
      </c>
      <c r="E18" s="512">
        <f>'Apertura Financiera'!E38</f>
        <v>0</v>
      </c>
      <c r="F18" s="63"/>
      <c r="G18" s="512"/>
      <c r="H18" s="765"/>
      <c r="I18" s="513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767">
        <v>37256</v>
      </c>
      <c r="B19" s="512">
        <f>'Apertura Financiera'!B39+'Apertura Financiera'!B54</f>
        <v>19513068.297678247</v>
      </c>
      <c r="C19" s="512">
        <f>'Apertura Financiera'!C39</f>
        <v>897489.7294500001</v>
      </c>
      <c r="D19" s="512">
        <f>'Apertura Financiera'!D39+'Apertura Financiera'!C54</f>
        <v>933242.65227081499</v>
      </c>
      <c r="E19" s="512">
        <f>'Apertura Financiera'!E39</f>
        <v>1794979.4589000002</v>
      </c>
      <c r="F19" s="63">
        <f>(B15+B19)/2</f>
        <v>14243982.796089124</v>
      </c>
      <c r="G19" s="514">
        <f>D18+D19</f>
        <v>1696108.9223033153</v>
      </c>
      <c r="H19" s="651">
        <f>G19/F19</f>
        <v>0.11907546832821257</v>
      </c>
      <c r="I19" s="517">
        <f>'Apertura Financiera'!G39</f>
        <v>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767">
        <v>37437</v>
      </c>
      <c r="B20" s="512">
        <f>'Apertura Financiera'!B40+'Apertura Financiera'!B55</f>
        <v>18615578.568228245</v>
      </c>
      <c r="C20" s="512">
        <f>'Apertura Financiera'!C40</f>
        <v>897489.7294500001</v>
      </c>
      <c r="D20" s="512">
        <f>'Apertura Financiera'!D40+'Apertura Financiera'!C55</f>
        <v>856956.02526756492</v>
      </c>
      <c r="E20" s="512">
        <f>'Apertura Financiera'!E40</f>
        <v>0</v>
      </c>
      <c r="F20" s="63"/>
      <c r="G20" s="514"/>
      <c r="H20" s="651"/>
      <c r="I20" s="517">
        <f>'Apertura Financiera'!G40</f>
        <v>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767">
        <v>37621</v>
      </c>
      <c r="B21" s="512">
        <f>'Apertura Financiera'!B41+'Apertura Financiera'!B56</f>
        <v>17718088.838778246</v>
      </c>
      <c r="C21" s="512">
        <f>'Apertura Financiera'!C41</f>
        <v>897489.7294500001</v>
      </c>
      <c r="D21" s="512">
        <f>'Apertura Financiera'!D41+'Apertura Financiera'!C56</f>
        <v>780669.39826431486</v>
      </c>
      <c r="E21" s="512">
        <f>'Apertura Financiera'!E41</f>
        <v>1794979.4589000002</v>
      </c>
      <c r="F21" s="63">
        <f>(B19+B21)/2</f>
        <v>18615578.568228245</v>
      </c>
      <c r="G21" s="514">
        <f>D20+D21</f>
        <v>1637625.4235318797</v>
      </c>
      <c r="H21" s="651">
        <f>G21/F21</f>
        <v>8.7970697098120984E-2</v>
      </c>
      <c r="I21" s="517">
        <f>'Apertura Financiera'!G41</f>
        <v>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767">
        <v>37802</v>
      </c>
      <c r="B22" s="512">
        <f>'Apertura Financiera'!B42+'Apertura Financiera'!B57</f>
        <v>16820599.109328248</v>
      </c>
      <c r="C22" s="512">
        <f>'Apertura Financiera'!C42</f>
        <v>897489.7294500001</v>
      </c>
      <c r="D22" s="512">
        <f>'Apertura Financiera'!D42+'Apertura Financiera'!C57</f>
        <v>704382.77126106492</v>
      </c>
      <c r="E22" s="512">
        <f>'Apertura Financiera'!E42</f>
        <v>0</v>
      </c>
      <c r="F22" s="63"/>
      <c r="G22" s="514"/>
      <c r="H22" s="651"/>
      <c r="I22" s="517">
        <f>'Apertura Financiera'!G42</f>
        <v>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767">
        <v>37986</v>
      </c>
      <c r="B23" s="512">
        <f>'Apertura Financiera'!B43+'Apertura Financiera'!B58</f>
        <v>15923109.379878245</v>
      </c>
      <c r="C23" s="512">
        <f>'Apertura Financiera'!C43</f>
        <v>897489.7294500001</v>
      </c>
      <c r="D23" s="512">
        <f>'Apertura Financiera'!D43+'Apertura Financiera'!C58</f>
        <v>628096.14425781486</v>
      </c>
      <c r="E23" s="512">
        <f>'Apertura Financiera'!E43</f>
        <v>1794979.4589000002</v>
      </c>
      <c r="F23" s="63">
        <f>(B21+B23)/2</f>
        <v>16820599.109328248</v>
      </c>
      <c r="G23" s="514">
        <f>D22+D23</f>
        <v>1332478.9155188799</v>
      </c>
      <c r="H23" s="651">
        <f>G23/F23</f>
        <v>7.9217090120168393E-2</v>
      </c>
      <c r="I23" s="517">
        <f>'Apertura Financiera'!G43</f>
        <v>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767">
        <v>38168</v>
      </c>
      <c r="B24" s="512">
        <f>'Apertura Financiera'!B44+'Apertura Financiera'!B59</f>
        <v>15025619.650428247</v>
      </c>
      <c r="C24" s="512">
        <f>'Apertura Financiera'!C44</f>
        <v>897489.7294500001</v>
      </c>
      <c r="D24" s="512">
        <f>'Apertura Financiera'!D44+'Apertura Financiera'!C59</f>
        <v>551809.51725456479</v>
      </c>
      <c r="E24" s="512">
        <f>'Apertura Financiera'!E44</f>
        <v>0</v>
      </c>
      <c r="F24" s="63"/>
      <c r="G24" s="514"/>
      <c r="H24" s="651"/>
      <c r="I24" s="517">
        <f>'Apertura Financiera'!G44</f>
        <v>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767">
        <v>38352</v>
      </c>
      <c r="B25" s="512">
        <f>'Apertura Financiera'!B45+'Apertura Financiera'!B60</f>
        <v>14128129.920978246</v>
      </c>
      <c r="C25" s="512">
        <f>'Apertura Financiera'!C45</f>
        <v>897489.7294500001</v>
      </c>
      <c r="D25" s="512">
        <f>'Apertura Financiera'!D45+'Apertura Financiera'!C60</f>
        <v>475522.89025131485</v>
      </c>
      <c r="E25" s="512">
        <f>'Apertura Financiera'!E45</f>
        <v>1794979.4589000002</v>
      </c>
      <c r="F25" s="63">
        <f>(B23+B25)/2</f>
        <v>15025619.650428247</v>
      </c>
      <c r="G25" s="514">
        <f>D24+D25</f>
        <v>1027332.4075058796</v>
      </c>
      <c r="H25" s="651">
        <f>G25/F25</f>
        <v>6.8372049300249621E-2</v>
      </c>
      <c r="I25" s="517">
        <f>'Apertura Financiera'!G45</f>
        <v>0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767">
        <v>38533</v>
      </c>
      <c r="B26" s="512">
        <f>'Apertura Financiera'!B46+'Apertura Financiera'!B61</f>
        <v>13230640.191528246</v>
      </c>
      <c r="C26" s="512">
        <f>'Apertura Financiera'!C46</f>
        <v>897489.7294500001</v>
      </c>
      <c r="D26" s="512">
        <f>'Apertura Financiera'!D46+'Apertura Financiera'!C61</f>
        <v>399236.26324806479</v>
      </c>
      <c r="E26" s="512">
        <f>'Apertura Financiera'!E46</f>
        <v>0</v>
      </c>
      <c r="F26" s="63"/>
      <c r="G26" s="514"/>
      <c r="H26" s="651"/>
      <c r="I26" s="517">
        <f>'Apertura Financiera'!G46</f>
        <v>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767">
        <v>38717</v>
      </c>
      <c r="B27" s="512">
        <f>'Apertura Financiera'!B47+'Apertura Financiera'!B62</f>
        <v>12333150.462078245</v>
      </c>
      <c r="C27" s="512">
        <f>'Apertura Financiera'!C47</f>
        <v>897489.7294500001</v>
      </c>
      <c r="D27" s="512">
        <f>'Apertura Financiera'!D47+'Apertura Financiera'!C62</f>
        <v>322949.63624481478</v>
      </c>
      <c r="E27" s="512">
        <f>'Apertura Financiera'!E47</f>
        <v>1794979.4589000002</v>
      </c>
      <c r="F27" s="63">
        <f>(B25+B27)/2</f>
        <v>13230640.191528246</v>
      </c>
      <c r="G27" s="514">
        <f>D26+D27</f>
        <v>722185.89949287963</v>
      </c>
      <c r="H27" s="651">
        <f>G27/F27</f>
        <v>5.4584350344233895E-2</v>
      </c>
      <c r="I27" s="517">
        <f>'Apertura Financiera'!G47</f>
        <v>0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795"/>
      <c r="B28" s="561"/>
      <c r="C28" s="561"/>
      <c r="D28" s="561"/>
      <c r="E28" s="561"/>
      <c r="F28" s="561"/>
      <c r="G28" s="561"/>
      <c r="H28" s="796"/>
      <c r="I28" s="633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797" t="s">
        <v>597</v>
      </c>
      <c r="B29" s="798"/>
      <c r="C29" s="798">
        <f>SUM(C18:C27)</f>
        <v>8974897.2945000026</v>
      </c>
      <c r="D29" s="798">
        <f>SUM(D17:D27)</f>
        <v>7369314.4058934599</v>
      </c>
      <c r="E29" s="798">
        <f>SUM(E18:E27)</f>
        <v>8974897.2945000008</v>
      </c>
      <c r="F29" s="798"/>
      <c r="G29" s="798">
        <f>SUM(G17:G27)</f>
        <v>7369314.405893459</v>
      </c>
      <c r="H29" s="799"/>
      <c r="I29" s="800">
        <f>+SUM(I16:I23)</f>
        <v>179497.94589000003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801"/>
      <c r="B30" s="512"/>
      <c r="C30" s="512"/>
      <c r="D30" s="512"/>
      <c r="E30" s="512"/>
      <c r="F30" s="512"/>
      <c r="G30" s="512"/>
      <c r="H30" s="802"/>
      <c r="I30" s="513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803"/>
      <c r="B31" s="514"/>
      <c r="C31" s="514"/>
      <c r="D31" s="514"/>
      <c r="E31" s="514"/>
      <c r="F31" s="51"/>
      <c r="G31" s="514"/>
      <c r="H31" s="651"/>
      <c r="I31" s="517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803"/>
      <c r="B32" s="514"/>
      <c r="C32" s="514"/>
      <c r="D32" s="514"/>
      <c r="E32" s="514"/>
      <c r="F32" s="514"/>
      <c r="G32" s="514"/>
      <c r="H32" s="804"/>
      <c r="I32" s="517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803"/>
      <c r="B33" s="514"/>
      <c r="C33" s="514"/>
      <c r="D33" s="514"/>
      <c r="E33" s="514"/>
      <c r="F33" s="51"/>
      <c r="G33" s="514"/>
      <c r="H33" s="651"/>
      <c r="I33" s="517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803"/>
      <c r="B34" s="514"/>
      <c r="C34" s="514"/>
      <c r="D34" s="514"/>
      <c r="E34" s="514"/>
      <c r="F34" s="514"/>
      <c r="G34" s="514"/>
      <c r="H34" s="804"/>
      <c r="I34" s="517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803"/>
      <c r="B35" s="514"/>
      <c r="C35" s="514"/>
      <c r="D35" s="514"/>
      <c r="E35" s="514"/>
      <c r="F35" s="51"/>
      <c r="G35" s="514"/>
      <c r="H35" s="651"/>
      <c r="I35" s="517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803"/>
      <c r="B36" s="514"/>
      <c r="C36" s="514"/>
      <c r="D36" s="514"/>
      <c r="E36" s="514"/>
      <c r="F36" s="514"/>
      <c r="G36" s="514"/>
      <c r="H36" s="804"/>
      <c r="I36" s="517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803"/>
      <c r="B37" s="514"/>
      <c r="C37" s="514"/>
      <c r="D37" s="514"/>
      <c r="E37" s="514"/>
      <c r="F37" s="51"/>
      <c r="G37" s="514"/>
      <c r="H37" s="651"/>
      <c r="I37" s="517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803"/>
      <c r="B38" s="514"/>
      <c r="C38" s="514"/>
      <c r="D38" s="514"/>
      <c r="E38" s="514"/>
      <c r="F38" s="514"/>
      <c r="G38" s="514"/>
      <c r="H38" s="804"/>
      <c r="I38" s="51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803"/>
      <c r="B39" s="514"/>
      <c r="C39" s="514"/>
      <c r="D39" s="514"/>
      <c r="E39" s="514"/>
      <c r="F39" s="51"/>
      <c r="G39" s="514"/>
      <c r="H39" s="651"/>
      <c r="I39" s="517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803"/>
      <c r="B40" s="514"/>
      <c r="C40" s="514"/>
      <c r="D40" s="514"/>
      <c r="E40" s="514"/>
      <c r="F40" s="514"/>
      <c r="G40" s="514"/>
      <c r="H40" s="804"/>
      <c r="I40" s="517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803"/>
      <c r="B41" s="514"/>
      <c r="C41" s="514"/>
      <c r="D41" s="514"/>
      <c r="E41" s="514"/>
      <c r="F41" s="51"/>
      <c r="G41" s="514"/>
      <c r="H41" s="651"/>
      <c r="I41" s="517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803"/>
      <c r="B42" s="514"/>
      <c r="C42" s="514"/>
      <c r="D42" s="514"/>
      <c r="E42" s="514"/>
      <c r="F42" s="514"/>
      <c r="G42" s="514"/>
      <c r="H42" s="804"/>
      <c r="I42" s="517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803"/>
      <c r="B43" s="514"/>
      <c r="C43" s="514"/>
      <c r="D43" s="514"/>
      <c r="E43" s="514"/>
      <c r="F43" s="51"/>
      <c r="G43" s="514"/>
      <c r="H43" s="651"/>
      <c r="I43" s="517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803"/>
      <c r="B44" s="514"/>
      <c r="C44" s="514"/>
      <c r="D44" s="514"/>
      <c r="E44" s="514"/>
      <c r="F44" s="514"/>
      <c r="G44" s="514"/>
      <c r="H44" s="804"/>
      <c r="I44" s="517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803"/>
      <c r="B45" s="514"/>
      <c r="C45" s="514"/>
      <c r="D45" s="514"/>
      <c r="E45" s="514"/>
      <c r="F45" s="51"/>
      <c r="G45" s="514"/>
      <c r="H45" s="651"/>
      <c r="I45" s="517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803"/>
      <c r="B46" s="514"/>
      <c r="C46" s="514"/>
      <c r="D46" s="514"/>
      <c r="E46" s="514"/>
      <c r="F46" s="514"/>
      <c r="G46" s="514"/>
      <c r="H46" s="804"/>
      <c r="I46" s="517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803"/>
      <c r="B47" s="514"/>
      <c r="C47" s="514"/>
      <c r="D47" s="514"/>
      <c r="E47" s="514"/>
      <c r="F47" s="51"/>
      <c r="G47" s="514"/>
      <c r="H47" s="651"/>
      <c r="I47" s="517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803"/>
      <c r="B48" s="514"/>
      <c r="C48" s="514"/>
      <c r="D48" s="514"/>
      <c r="E48" s="514"/>
      <c r="F48" s="514"/>
      <c r="G48" s="514"/>
      <c r="H48" s="804"/>
      <c r="I48" s="517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805"/>
      <c r="B49" s="514"/>
      <c r="C49" s="514"/>
      <c r="D49" s="514"/>
      <c r="E49" s="514"/>
      <c r="F49" s="51"/>
      <c r="G49" s="514"/>
      <c r="H49" s="651"/>
      <c r="I49" s="517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637" t="s">
        <v>597</v>
      </c>
      <c r="B50" s="551"/>
      <c r="C50" s="551"/>
      <c r="D50" s="551"/>
      <c r="E50" s="551"/>
      <c r="F50" s="88"/>
      <c r="G50" s="551"/>
      <c r="H50" s="806"/>
      <c r="I50" s="582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</sheetData>
  <mergeCells count="3">
    <mergeCell ref="B3:C3"/>
    <mergeCell ref="D3:E3"/>
    <mergeCell ref="F3:G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>
      <selection activeCell="B13" sqref="B13"/>
    </sheetView>
  </sheetViews>
  <sheetFormatPr baseColWidth="10" defaultColWidth="14.42578125" defaultRowHeight="15" customHeight="1"/>
  <cols>
    <col min="1" max="1" width="32" customWidth="1"/>
    <col min="2" max="6" width="16" customWidth="1"/>
    <col min="7" max="7" width="17.7109375" bestFit="1" customWidth="1"/>
    <col min="8" max="26" width="10" customWidth="1"/>
  </cols>
  <sheetData>
    <row r="1" spans="1:26" ht="12.75" customHeight="1">
      <c r="A1" s="2" t="s">
        <v>0</v>
      </c>
      <c r="E1" s="688"/>
      <c r="F1" s="3">
        <f>InfoInicial!E1</f>
        <v>4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519" t="s">
        <v>599</v>
      </c>
      <c r="B2" s="508"/>
      <c r="C2" s="508"/>
      <c r="D2" s="508"/>
      <c r="E2" s="508"/>
      <c r="F2" s="508"/>
      <c r="G2" s="50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2.75" customHeight="1">
      <c r="A3" s="510" t="s">
        <v>359</v>
      </c>
      <c r="B3" s="44" t="s">
        <v>72</v>
      </c>
      <c r="C3" s="44" t="s">
        <v>360</v>
      </c>
      <c r="D3" s="44" t="s">
        <v>361</v>
      </c>
      <c r="E3" s="44" t="s">
        <v>362</v>
      </c>
      <c r="F3" s="555" t="s">
        <v>363</v>
      </c>
      <c r="G3" s="45" t="s">
        <v>211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 customHeight="1">
      <c r="A4" s="40" t="s">
        <v>600</v>
      </c>
      <c r="B4" s="514">
        <f>'E-Costos'!B88</f>
        <v>334425000</v>
      </c>
      <c r="C4" s="514">
        <f>'E-Costos'!C88</f>
        <v>394537500</v>
      </c>
      <c r="D4" s="514">
        <f>'E-Costos'!D88</f>
        <v>394537500</v>
      </c>
      <c r="E4" s="514">
        <f>'E-Costos'!E88</f>
        <v>394537500</v>
      </c>
      <c r="F4" s="514">
        <f>'E-Costos'!F88</f>
        <v>394537500</v>
      </c>
      <c r="G4" s="517">
        <f t="shared" ref="G4:G6" si="0">SUM(B4:F4)</f>
        <v>1912575000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40" t="s">
        <v>601</v>
      </c>
      <c r="B5" s="514">
        <f>'E-Costos'!B109</f>
        <v>212591069.2941936</v>
      </c>
      <c r="C5" s="514">
        <f>'E-Costos'!C109</f>
        <v>254022380.17422727</v>
      </c>
      <c r="D5" s="514">
        <f>'E-Costos'!D109</f>
        <v>254067893.97685662</v>
      </c>
      <c r="E5" s="514">
        <f>'E-Costos'!E109</f>
        <v>253827976.06967893</v>
      </c>
      <c r="F5" s="514">
        <f>'E-Costos'!F109</f>
        <v>253824405.19203815</v>
      </c>
      <c r="G5" s="517">
        <f t="shared" si="0"/>
        <v>1228333724.7069945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40" t="s">
        <v>602</v>
      </c>
      <c r="B6" s="514">
        <f t="shared" ref="B6:F6" si="1">B4-B5</f>
        <v>121833930.7058064</v>
      </c>
      <c r="C6" s="514">
        <f t="shared" si="1"/>
        <v>140515119.82577273</v>
      </c>
      <c r="D6" s="514">
        <f t="shared" si="1"/>
        <v>140469606.02314338</v>
      </c>
      <c r="E6" s="514">
        <f t="shared" si="1"/>
        <v>140709523.93032107</v>
      </c>
      <c r="F6" s="514">
        <f t="shared" si="1"/>
        <v>140713094.80796185</v>
      </c>
      <c r="G6" s="517">
        <f t="shared" si="0"/>
        <v>684241275.29300547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40" t="s">
        <v>485</v>
      </c>
      <c r="B7" s="514"/>
      <c r="C7" s="514"/>
      <c r="D7" s="514"/>
      <c r="E7" s="514"/>
      <c r="F7" s="559"/>
      <c r="G7" s="517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40" t="s">
        <v>603</v>
      </c>
      <c r="B8" s="514">
        <f>'E-Costos'!B111</f>
        <v>45019078.908247784</v>
      </c>
      <c r="C8" s="514">
        <f>'E-Costos'!C111</f>
        <v>45833242.919207767</v>
      </c>
      <c r="D8" s="514">
        <f>'E-Costos'!D111</f>
        <v>45833242.919207767</v>
      </c>
      <c r="E8" s="514">
        <f>'E-Costos'!E111</f>
        <v>45839914.622344792</v>
      </c>
      <c r="F8" s="514">
        <f>'E-Costos'!F111</f>
        <v>45839914.622344792</v>
      </c>
      <c r="G8" s="517">
        <f t="shared" ref="G8:G12" si="2">SUM(B8:F8)</f>
        <v>228365393.99135292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40" t="s">
        <v>604</v>
      </c>
      <c r="B9" s="514">
        <f>'E-Costos'!B112</f>
        <v>12891752.958982928</v>
      </c>
      <c r="C9" s="514">
        <f>'E-Costos'!C112</f>
        <v>14927208.289203426</v>
      </c>
      <c r="D9" s="514">
        <f>'E-Costos'!D112</f>
        <v>14927208.289203426</v>
      </c>
      <c r="E9" s="514">
        <f>'E-Costos'!E112</f>
        <v>14932093.99063891</v>
      </c>
      <c r="F9" s="514">
        <f>'E-Costos'!F112</f>
        <v>14932093.99063891</v>
      </c>
      <c r="G9" s="517">
        <f t="shared" si="2"/>
        <v>72610357.518667594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.75" customHeight="1">
      <c r="A10" s="40" t="s">
        <v>605</v>
      </c>
      <c r="B10" s="514">
        <f>('F-Cred'!I17+'F-Cred'!G17)/3+'F-Cred'!I19+'F-Cred'!G19</f>
        <v>2073802.5167801904</v>
      </c>
      <c r="C10" s="514">
        <f>('F-Cred'!G17+'F-Cred'!I17)/3+'F-Cred'!I21+'F-Cred'!G21</f>
        <v>2015319.0180087548</v>
      </c>
      <c r="D10" s="514">
        <f>('F-Cred'!G17+'F-Cred'!I17)/3+'F-Cred'!G23+'F-Cred'!I23</f>
        <v>1710172.509995755</v>
      </c>
      <c r="E10" s="514">
        <f>'F-Cred'!I25+'F-Cred'!G25</f>
        <v>1027332.4075058796</v>
      </c>
      <c r="F10" s="559">
        <f>'F-Cred'!I27+'F-Cred'!G27</f>
        <v>722185.89949287963</v>
      </c>
      <c r="G10" s="517">
        <f t="shared" si="2"/>
        <v>7548812.3517834591</v>
      </c>
      <c r="H10" s="585" t="s">
        <v>606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35" t="s">
        <v>607</v>
      </c>
      <c r="B11" s="514">
        <f t="shared" ref="B11:F11" si="3">B6-B8-B9-B10</f>
        <v>61849296.321795501</v>
      </c>
      <c r="C11" s="514">
        <f t="shared" si="3"/>
        <v>77739349.599352792</v>
      </c>
      <c r="D11" s="514">
        <f t="shared" si="3"/>
        <v>77998982.304736435</v>
      </c>
      <c r="E11" s="514">
        <f t="shared" si="3"/>
        <v>78910182.909831479</v>
      </c>
      <c r="F11" s="514">
        <f t="shared" si="3"/>
        <v>79218900.295485273</v>
      </c>
      <c r="G11" s="517">
        <f t="shared" si="2"/>
        <v>375716711.43120146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40" t="s">
        <v>608</v>
      </c>
      <c r="B12" s="514">
        <f>B11*InfoInicial!$B$5</f>
        <v>1546232.4080448877</v>
      </c>
      <c r="C12" s="514">
        <f>C11*InfoInicial!$B$5</f>
        <v>1943483.7399838199</v>
      </c>
      <c r="D12" s="514">
        <f>D11*InfoInicial!$B$5</f>
        <v>1949974.557618411</v>
      </c>
      <c r="E12" s="514">
        <f>E11*InfoInicial!$B$5</f>
        <v>1972754.572745787</v>
      </c>
      <c r="F12" s="514">
        <f>F11*InfoInicial!$B$5</f>
        <v>1980472.5073871319</v>
      </c>
      <c r="G12" s="517">
        <f t="shared" si="2"/>
        <v>9392917.7857800368</v>
      </c>
      <c r="H12" s="585" t="s">
        <v>609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807" t="s">
        <v>610</v>
      </c>
      <c r="B13" s="514">
        <f>(B11-B12)*InfoInicial!$B$4</f>
        <v>21106072.369812712</v>
      </c>
      <c r="C13" s="514">
        <f>(C11-C12)*InfoInicial!$B$4</f>
        <v>26528553.050779138</v>
      </c>
      <c r="D13" s="514">
        <f>(D11-D12)*InfoInicial!$B$4</f>
        <v>26617152.711491309</v>
      </c>
      <c r="E13" s="514">
        <f>(E11-E12)*InfoInicial!$B$4</f>
        <v>26928099.917979993</v>
      </c>
      <c r="F13" s="514">
        <f>(F11-F12)*InfoInicial!$B$4</f>
        <v>27033449.725834347</v>
      </c>
      <c r="G13" s="514">
        <f>(G11-G12)*InfoInicial!$B$4</f>
        <v>128213327.7758975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808" t="s">
        <v>611</v>
      </c>
      <c r="B14" s="533">
        <f t="shared" ref="B14:F14" si="4">B11-B12-B13</f>
        <v>39196991.543937899</v>
      </c>
      <c r="C14" s="533">
        <f t="shared" si="4"/>
        <v>49267312.808589831</v>
      </c>
      <c r="D14" s="533">
        <f t="shared" si="4"/>
        <v>49431855.035626717</v>
      </c>
      <c r="E14" s="533">
        <f t="shared" si="4"/>
        <v>50009328.419105701</v>
      </c>
      <c r="F14" s="533">
        <f t="shared" si="4"/>
        <v>50204978.062263794</v>
      </c>
      <c r="G14" s="517">
        <f>SUM(B14:F14)</f>
        <v>238110465.86952394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topLeftCell="A61" workbookViewId="0">
      <selection activeCell="E90" sqref="E90"/>
    </sheetView>
  </sheetViews>
  <sheetFormatPr baseColWidth="10" defaultColWidth="14.42578125" defaultRowHeight="15" customHeight="1"/>
  <cols>
    <col min="1" max="1" width="54.28515625" customWidth="1"/>
    <col min="2" max="2" width="16.85546875" customWidth="1"/>
    <col min="3" max="3" width="16.7109375" customWidth="1"/>
    <col min="4" max="4" width="18.7109375" customWidth="1"/>
    <col min="5" max="5" width="22.28515625" customWidth="1"/>
    <col min="6" max="6" width="16.140625" customWidth="1"/>
    <col min="7" max="26" width="10" customWidth="1"/>
  </cols>
  <sheetData>
    <row r="1" spans="1:26" ht="12.75" customHeight="1">
      <c r="A1" s="2" t="s">
        <v>0</v>
      </c>
      <c r="D1">
        <f>InfoInicial!E1</f>
        <v>4</v>
      </c>
      <c r="E1" s="3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519" t="s">
        <v>612</v>
      </c>
      <c r="B2" s="508"/>
      <c r="C2" s="508"/>
      <c r="D2" s="50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2.75" customHeight="1">
      <c r="A3" s="510" t="s">
        <v>359</v>
      </c>
      <c r="B3" s="809" t="s">
        <v>71</v>
      </c>
      <c r="C3" s="809" t="s">
        <v>72</v>
      </c>
      <c r="D3" s="45" t="s">
        <v>211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 customHeight="1">
      <c r="A4" s="35" t="s">
        <v>613</v>
      </c>
      <c r="B4" s="514"/>
      <c r="C4" s="514"/>
      <c r="D4" s="51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40"/>
      <c r="B5" s="514"/>
      <c r="C5" s="514"/>
      <c r="D5" s="51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40" t="s">
        <v>614</v>
      </c>
      <c r="B6" s="514">
        <f>'E-Inv AF y Am'!B20</f>
        <v>17120278.419357501</v>
      </c>
      <c r="C6" s="515">
        <v>0</v>
      </c>
      <c r="D6" s="517">
        <f t="shared" ref="D6:D10" si="0">B6+C6</f>
        <v>17120278.419357501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40" t="s">
        <v>615</v>
      </c>
      <c r="B7" s="514">
        <f>'E-Inv AF y Am'!B31+'F-Cred'!J17</f>
        <v>1614180.5535773204</v>
      </c>
      <c r="C7" s="514">
        <f>'E-Inv AF y Am'!C31</f>
        <v>4367863.6019559354</v>
      </c>
      <c r="D7" s="517">
        <f t="shared" si="0"/>
        <v>5982044.155533256</v>
      </c>
      <c r="E7" s="622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35" t="s">
        <v>616</v>
      </c>
      <c r="B8" s="514">
        <f>B6+B7</f>
        <v>18734458.97293482</v>
      </c>
      <c r="C8" s="514">
        <f>C7+C6</f>
        <v>4367863.6019559354</v>
      </c>
      <c r="D8" s="517">
        <f t="shared" si="0"/>
        <v>23102322.574890755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807" t="s">
        <v>617</v>
      </c>
      <c r="B9" s="514">
        <f t="shared" ref="B9:C9" si="1">B8*0.21</f>
        <v>3934236.3843163121</v>
      </c>
      <c r="C9" s="514">
        <f t="shared" si="1"/>
        <v>917251.35641074635</v>
      </c>
      <c r="D9" s="517">
        <f t="shared" si="0"/>
        <v>4851487.7407270586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.75" customHeight="1">
      <c r="A10" s="35" t="s">
        <v>618</v>
      </c>
      <c r="B10" s="514">
        <f t="shared" ref="B10:C10" si="2">B8+B9</f>
        <v>22668695.35725113</v>
      </c>
      <c r="C10" s="514">
        <f t="shared" si="2"/>
        <v>5285114.9583666818</v>
      </c>
      <c r="D10" s="517">
        <f t="shared" si="0"/>
        <v>27953810.315617811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35" t="s">
        <v>619</v>
      </c>
      <c r="B11" s="514"/>
      <c r="C11" s="514"/>
      <c r="D11" s="517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807" t="s">
        <v>620</v>
      </c>
      <c r="B12" s="515">
        <f>'E-InvAT'!B6</f>
        <v>5350800</v>
      </c>
      <c r="C12" s="515">
        <f>'E-InvAT'!C6-'E-InvAT'!B6</f>
        <v>1337700</v>
      </c>
      <c r="D12" s="517">
        <f t="shared" ref="D12:D15" si="3">B12+C12</f>
        <v>6688500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40" t="s">
        <v>621</v>
      </c>
      <c r="B13" s="514">
        <f>'E-InvAT'!B7</f>
        <v>0</v>
      </c>
      <c r="C13" s="514">
        <f>'E-InvAT'!C7</f>
        <v>27868750</v>
      </c>
      <c r="D13" s="517">
        <f t="shared" si="3"/>
        <v>27868750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40" t="s">
        <v>622</v>
      </c>
      <c r="B14" s="514">
        <f>'E-InvAT'!B9</f>
        <v>40550104.701132953</v>
      </c>
      <c r="C14" s="514">
        <f>'E-InvAT'!C9</f>
        <v>38764356.061687022</v>
      </c>
      <c r="D14" s="517">
        <f t="shared" si="3"/>
        <v>79314460.762819976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35" t="s">
        <v>623</v>
      </c>
      <c r="B15" s="514">
        <f t="shared" ref="B15:C15" si="4">B12+B13+B14</f>
        <v>45900904.701132953</v>
      </c>
      <c r="C15" s="514">
        <f t="shared" si="4"/>
        <v>67970806.061687022</v>
      </c>
      <c r="D15" s="517">
        <f t="shared" si="3"/>
        <v>113871710.76281998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40" t="s">
        <v>485</v>
      </c>
      <c r="B16" s="514"/>
      <c r="C16" s="514"/>
      <c r="D16" s="51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40" t="s">
        <v>624</v>
      </c>
      <c r="B17" s="514"/>
      <c r="C17" s="514">
        <f>'E-InvAT'!C17+'E-InvAT'!C18</f>
        <v>2050540.8436827115</v>
      </c>
      <c r="D17" s="517">
        <f t="shared" ref="D17:D23" si="5">B17+C17</f>
        <v>2050540.8436827115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40" t="s">
        <v>625</v>
      </c>
      <c r="B18" s="514"/>
      <c r="C18" s="514">
        <f>('E-Inv AF y Am'!D56+'F-Cred'!J17/3-C17)*30/360</f>
        <v>80411.765639765814</v>
      </c>
      <c r="D18" s="517">
        <f t="shared" si="5"/>
        <v>80411.765639765814</v>
      </c>
      <c r="E18" s="81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40" t="s">
        <v>626</v>
      </c>
      <c r="B19" s="514"/>
      <c r="C19" s="514">
        <f>('F-CRes'!B14/'E-Costos'!B88)*'E-InvAT'!C7</f>
        <v>3266415.9619948249</v>
      </c>
      <c r="D19" s="517">
        <f t="shared" si="5"/>
        <v>3266415.9619948249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35" t="s">
        <v>627</v>
      </c>
      <c r="B20" s="514">
        <f>B15</f>
        <v>45900904.701132953</v>
      </c>
      <c r="C20" s="514">
        <f>C15-C17-C18-C19</f>
        <v>62573437.490369715</v>
      </c>
      <c r="D20" s="517">
        <f t="shared" si="5"/>
        <v>108474342.19150266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40" t="s">
        <v>458</v>
      </c>
      <c r="B21" s="514">
        <f>'E-InvAT'!B34</f>
        <v>8515521.9872379191</v>
      </c>
      <c r="C21" s="514">
        <f>'E-InvAT'!C34</f>
        <v>-375007.21428364352</v>
      </c>
      <c r="D21" s="517">
        <f t="shared" si="5"/>
        <v>8140514.7729542758</v>
      </c>
      <c r="E21" s="81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35" t="s">
        <v>628</v>
      </c>
      <c r="B22" s="811">
        <f t="shared" ref="B22:C22" si="6">B15+B21</f>
        <v>54416426.688370869</v>
      </c>
      <c r="C22" s="811">
        <f t="shared" si="6"/>
        <v>67595798.847403377</v>
      </c>
      <c r="D22" s="517">
        <f t="shared" si="5"/>
        <v>122012225.53577425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35" t="s">
        <v>629</v>
      </c>
      <c r="B23" s="514">
        <f t="shared" ref="B23:C23" si="7">B20+B21</f>
        <v>54416426.688370869</v>
      </c>
      <c r="C23" s="514">
        <f t="shared" si="7"/>
        <v>62198430.27608607</v>
      </c>
      <c r="D23" s="517">
        <f t="shared" si="5"/>
        <v>116614856.96445695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35" t="s">
        <v>630</v>
      </c>
      <c r="B24" s="514"/>
      <c r="C24" s="514"/>
      <c r="D24" s="51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40" t="s">
        <v>631</v>
      </c>
      <c r="B25" s="514">
        <f t="shared" ref="B25:C25" si="8">B10</f>
        <v>22668695.35725113</v>
      </c>
      <c r="C25" s="514">
        <f t="shared" si="8"/>
        <v>5285114.9583666818</v>
      </c>
      <c r="D25" s="517">
        <f t="shared" ref="D25:D27" si="9">B25+C25</f>
        <v>27953810.315617811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40" t="s">
        <v>632</v>
      </c>
      <c r="B26" s="514">
        <f t="shared" ref="B26:C26" si="10">B23</f>
        <v>54416426.688370869</v>
      </c>
      <c r="C26" s="514">
        <f t="shared" si="10"/>
        <v>62198430.27608607</v>
      </c>
      <c r="D26" s="517">
        <f t="shared" si="9"/>
        <v>116614856.96445695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35" t="s">
        <v>633</v>
      </c>
      <c r="B27" s="514">
        <f t="shared" ref="B27:C27" si="11">B25+B26</f>
        <v>77085122.045621991</v>
      </c>
      <c r="C27" s="514">
        <f t="shared" si="11"/>
        <v>67483545.234452754</v>
      </c>
      <c r="D27" s="517">
        <f t="shared" si="9"/>
        <v>144568667.28007475</v>
      </c>
      <c r="E27" s="812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35" t="s">
        <v>634</v>
      </c>
      <c r="B28" s="514"/>
      <c r="C28" s="514"/>
      <c r="D28" s="517"/>
      <c r="E28" s="813" t="s">
        <v>635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35" t="s">
        <v>636</v>
      </c>
      <c r="B29" s="514">
        <f>'Apertura Financiera'!B53</f>
        <v>0</v>
      </c>
      <c r="C29" s="514">
        <f>'Apertura Financiera'!B54</f>
        <v>12333150.462078247</v>
      </c>
      <c r="D29" s="517">
        <f t="shared" ref="D29:D32" si="12">B29+C29</f>
        <v>12333150.462078247</v>
      </c>
      <c r="E29" s="814">
        <f>D29/D32</f>
        <v>8.5309982405697052E-2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35" t="s">
        <v>637</v>
      </c>
      <c r="B30" s="514">
        <f>'Apertura Financiera'!B36</f>
        <v>8974897.2945000008</v>
      </c>
      <c r="C30" s="515">
        <v>0</v>
      </c>
      <c r="D30" s="517">
        <f t="shared" si="12"/>
        <v>8974897.2945000008</v>
      </c>
      <c r="E30" s="814">
        <f>D30/D32</f>
        <v>6.2080514840140405E-2</v>
      </c>
      <c r="F30" s="585" t="s">
        <v>638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35" t="s">
        <v>639</v>
      </c>
      <c r="B31" s="514">
        <f>B32-B30-B29</f>
        <v>68110224.751121998</v>
      </c>
      <c r="C31" s="514">
        <f>C32-C29-C30</f>
        <v>55150394.772374511</v>
      </c>
      <c r="D31" s="517">
        <f t="shared" si="12"/>
        <v>123260619.52349651</v>
      </c>
      <c r="E31" s="814">
        <f>D31/D32</f>
        <v>0.85260950275416258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808" t="s">
        <v>211</v>
      </c>
      <c r="B32" s="533">
        <f t="shared" ref="B32:C32" si="13">B27</f>
        <v>77085122.045621991</v>
      </c>
      <c r="C32" s="533">
        <f t="shared" si="13"/>
        <v>67483545.234452754</v>
      </c>
      <c r="D32" s="517">
        <f t="shared" si="12"/>
        <v>144568667.28007475</v>
      </c>
      <c r="E32" s="815">
        <f>E29+E30+E31</f>
        <v>1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>
      <c r="A34" s="519" t="s">
        <v>640</v>
      </c>
      <c r="B34" s="508"/>
      <c r="C34" s="508"/>
      <c r="D34" s="508"/>
      <c r="E34" s="508"/>
      <c r="F34" s="508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510" t="s">
        <v>359</v>
      </c>
      <c r="B35" s="44" t="s">
        <v>72</v>
      </c>
      <c r="C35" s="44" t="s">
        <v>360</v>
      </c>
      <c r="D35" s="44" t="s">
        <v>361</v>
      </c>
      <c r="E35" s="44" t="s">
        <v>362</v>
      </c>
      <c r="F35" s="44" t="s">
        <v>363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48" t="s">
        <v>523</v>
      </c>
      <c r="B36" s="51">
        <f>'E-Costos'!B131</f>
        <v>217470956.3344112</v>
      </c>
      <c r="C36" s="51">
        <f>'E-Costos'!C131</f>
        <v>250267520.37352353</v>
      </c>
      <c r="D36" s="51">
        <f>'E-Costos'!D131</f>
        <v>250267520.37352353</v>
      </c>
      <c r="E36" s="51">
        <f>'E-Costos'!E131</f>
        <v>250267562.28518352</v>
      </c>
      <c r="F36" s="51">
        <f>'E-Costos'!F131</f>
        <v>250267562.28518352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124" t="s">
        <v>522</v>
      </c>
      <c r="B37" s="51">
        <f>'E-Costos'!B130</f>
        <v>3571290.863250426</v>
      </c>
      <c r="C37" s="51">
        <f>'E-Costos'!C130</f>
        <v>3800405.3258097558</v>
      </c>
      <c r="D37" s="51">
        <f>'E-Costos'!D130</f>
        <v>3800405.3258097558</v>
      </c>
      <c r="E37" s="51">
        <f>'E-Costos'!E130</f>
        <v>3556838.1622169549</v>
      </c>
      <c r="F37" s="51">
        <f>'E-Costos'!F130</f>
        <v>3556838.1622169549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48" t="s">
        <v>525</v>
      </c>
      <c r="B38" s="51">
        <f>'E-Costos'!B133</f>
        <v>0</v>
      </c>
      <c r="C38" s="51">
        <f>'E-Costos'!C133</f>
        <v>0</v>
      </c>
      <c r="D38" s="51">
        <f>'E-Costos'!D133</f>
        <v>0</v>
      </c>
      <c r="E38" s="51">
        <f>'E-Costos'!E133</f>
        <v>0</v>
      </c>
      <c r="F38" s="51">
        <f>'E-Costos'!F133</f>
        <v>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124" t="s">
        <v>524</v>
      </c>
      <c r="B39" s="51">
        <f>'E-Costos'!B132</f>
        <v>45019078.908247784</v>
      </c>
      <c r="C39" s="51">
        <f>'E-Costos'!C132</f>
        <v>45833242.919207767</v>
      </c>
      <c r="D39" s="51">
        <f>'E-Costos'!D132</f>
        <v>45833242.919207767</v>
      </c>
      <c r="E39" s="51">
        <f>'E-Costos'!E132</f>
        <v>45839914.622344792</v>
      </c>
      <c r="F39" s="51">
        <f>'E-Costos'!F132</f>
        <v>45839914.622344792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48" t="s">
        <v>527</v>
      </c>
      <c r="B40" s="51">
        <f>'E-Costos'!B135</f>
        <v>10068748.355039246</v>
      </c>
      <c r="C40" s="51">
        <f>'E-Costos'!C135</f>
        <v>11872125</v>
      </c>
      <c r="D40" s="51">
        <f>'E-Costos'!D135</f>
        <v>11872125</v>
      </c>
      <c r="E40" s="51">
        <f>'E-Costos'!E135</f>
        <v>11872123.720000001</v>
      </c>
      <c r="F40" s="51">
        <f>'E-Costos'!F135</f>
        <v>11872125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124" t="s">
        <v>526</v>
      </c>
      <c r="B41" s="51">
        <f>'E-Costos'!B134</f>
        <v>2823004.6039436809</v>
      </c>
      <c r="C41" s="51">
        <f>'E-Costos'!C134</f>
        <v>3055083.2892034259</v>
      </c>
      <c r="D41" s="51">
        <f>'E-Costos'!D134</f>
        <v>3055083.2892034259</v>
      </c>
      <c r="E41" s="51">
        <f>'E-Costos'!E134</f>
        <v>3059970.2706389092</v>
      </c>
      <c r="F41" s="51">
        <f>'E-Costos'!F134</f>
        <v>3059968.9906389094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124" t="s">
        <v>641</v>
      </c>
      <c r="B42" s="51">
        <f>'F-CRes'!B10</f>
        <v>2073802.5167801904</v>
      </c>
      <c r="C42" s="51">
        <f>'F-CRes'!C10</f>
        <v>2015319.0180087548</v>
      </c>
      <c r="D42" s="51">
        <f>'F-CRes'!D10</f>
        <v>1710172.509995755</v>
      </c>
      <c r="E42" s="51">
        <f>'F-CRes'!E10</f>
        <v>1027332.4075058796</v>
      </c>
      <c r="F42" s="51">
        <f>'F-CRes'!F10</f>
        <v>722185.89949287963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48" t="s">
        <v>528</v>
      </c>
      <c r="B43" s="51">
        <f>'E-Costos'!B88-B36-B38-B40</f>
        <v>106885295.31054956</v>
      </c>
      <c r="C43" s="51">
        <f>'E-Costos'!C88-C36-C38-C40</f>
        <v>132397854.62647647</v>
      </c>
      <c r="D43" s="51">
        <f>'E-Costos'!D88-D36-D38-D40</f>
        <v>132397854.62647647</v>
      </c>
      <c r="E43" s="51">
        <f>'E-Costos'!E88-E36-E38-E40</f>
        <v>132397813.99481648</v>
      </c>
      <c r="F43" s="51">
        <f>'E-Costos'!F88-F36-F38-F40</f>
        <v>132397812.71481648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97" t="s">
        <v>529</v>
      </c>
      <c r="B44" s="816">
        <f t="shared" ref="B44:F44" si="14">(B37+B39+B41+B42)/B43</f>
        <v>0.50041660769910334</v>
      </c>
      <c r="C44" s="816">
        <f t="shared" si="14"/>
        <v>0.41317928229699707</v>
      </c>
      <c r="D44" s="816">
        <f t="shared" si="14"/>
        <v>0.41087451301751082</v>
      </c>
      <c r="E44" s="816">
        <f t="shared" si="14"/>
        <v>0.403964792536533</v>
      </c>
      <c r="F44" s="816">
        <f t="shared" si="14"/>
        <v>0.40166001676508323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>
      <c r="A45" s="656" t="s">
        <v>642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939" t="s">
        <v>72</v>
      </c>
      <c r="B47" s="940"/>
      <c r="C47" s="940"/>
      <c r="D47" s="940"/>
      <c r="E47" s="94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657" t="s">
        <v>20</v>
      </c>
      <c r="B48" s="658" t="s">
        <v>531</v>
      </c>
      <c r="C48" s="817" t="s">
        <v>532</v>
      </c>
      <c r="D48" s="817" t="s">
        <v>533</v>
      </c>
      <c r="E48" s="817" t="s">
        <v>534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540">
        <v>0</v>
      </c>
      <c r="B49" s="660">
        <f t="shared" ref="B49:B65" si="15">$B$37+$B$39+$B$41+$B$42</f>
        <v>53487176.892222084</v>
      </c>
      <c r="C49" s="818">
        <f>A49*($B$36+$B$38+$B$40)/'E-Costos'!$B$86</f>
        <v>0</v>
      </c>
      <c r="D49" s="818">
        <f t="shared" ref="D49:D65" si="16">B49+C49</f>
        <v>53487176.892222084</v>
      </c>
      <c r="E49" s="819">
        <f>A49*'E-Costos'!$B$87</f>
        <v>0</v>
      </c>
      <c r="F49" s="879" t="s">
        <v>723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545">
        <v>1000000</v>
      </c>
      <c r="B50" s="660">
        <f t="shared" si="15"/>
        <v>53487176.892222084</v>
      </c>
      <c r="C50" s="818">
        <f>A50*($B$36+$B$38+$B$40)/'E-Costos'!$B$86</f>
        <v>9525471.6772140432</v>
      </c>
      <c r="D50" s="818">
        <f t="shared" si="16"/>
        <v>63012648.569436125</v>
      </c>
      <c r="E50" s="819">
        <f>A50*'E-Costos'!$B$87</f>
        <v>14000000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896">
        <v>2000000</v>
      </c>
      <c r="B51" s="660">
        <f t="shared" si="15"/>
        <v>53487176.892222084</v>
      </c>
      <c r="C51" s="818">
        <f>A51*($B$36+$B$38+$B$40)/'E-Costos'!$B$86</f>
        <v>19050943.354428086</v>
      </c>
      <c r="D51" s="818">
        <f t="shared" si="16"/>
        <v>72538120.246650174</v>
      </c>
      <c r="E51" s="819">
        <f>A51*'E-Costos'!$B$87</f>
        <v>28000000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545">
        <v>3000000</v>
      </c>
      <c r="B52" s="660">
        <f t="shared" si="15"/>
        <v>53487176.892222084</v>
      </c>
      <c r="C52" s="818">
        <f>A52*($B$36+$B$38+$B$40)/'E-Costos'!$B$86</f>
        <v>28576415.031642132</v>
      </c>
      <c r="D52" s="818">
        <f t="shared" si="16"/>
        <v>82063591.923864216</v>
      </c>
      <c r="E52" s="819">
        <f>A52*'E-Costos'!$B$87</f>
        <v>42000000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896">
        <v>4000000</v>
      </c>
      <c r="B53" s="660">
        <f t="shared" si="15"/>
        <v>53487176.892222084</v>
      </c>
      <c r="C53" s="818">
        <f>A53*($B$36+$B$38+$B$40)/'E-Costos'!$B$86</f>
        <v>38101886.708856173</v>
      </c>
      <c r="D53" s="818">
        <f t="shared" si="16"/>
        <v>91589063.601078257</v>
      </c>
      <c r="E53" s="819">
        <f>A53*'E-Costos'!$B$87</f>
        <v>56000000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545">
        <v>5000000</v>
      </c>
      <c r="B54" s="660">
        <f t="shared" si="15"/>
        <v>53487176.892222084</v>
      </c>
      <c r="C54" s="818">
        <f>A54*($B$36+$B$38+$B$40)/'E-Costos'!$B$86</f>
        <v>47627358.386070214</v>
      </c>
      <c r="D54" s="818">
        <f t="shared" si="16"/>
        <v>101114535.2782923</v>
      </c>
      <c r="E54" s="819">
        <f>A54*'E-Costos'!$B$87</f>
        <v>70000000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896">
        <v>6000000</v>
      </c>
      <c r="B55" s="660">
        <f t="shared" si="15"/>
        <v>53487176.892222084</v>
      </c>
      <c r="C55" s="818">
        <f>A55*($B$36+$B$38+$B$40)/'E-Costos'!$B$86</f>
        <v>57152830.063284263</v>
      </c>
      <c r="D55" s="818">
        <f t="shared" si="16"/>
        <v>110640006.95550635</v>
      </c>
      <c r="E55" s="819">
        <f>A55*'E-Costos'!$B$87</f>
        <v>84000000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545">
        <v>7000000</v>
      </c>
      <c r="B56" s="660">
        <f t="shared" si="15"/>
        <v>53487176.892222084</v>
      </c>
      <c r="C56" s="818">
        <f>A56*($B$36+$B$38+$B$40)/'E-Costos'!$B$86</f>
        <v>66678301.740498297</v>
      </c>
      <c r="D56" s="818">
        <f t="shared" si="16"/>
        <v>120165478.63272038</v>
      </c>
      <c r="E56" s="819">
        <f>A56*'E-Costos'!$B$87</f>
        <v>98000000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896">
        <v>8000000</v>
      </c>
      <c r="B57" s="660">
        <f t="shared" si="15"/>
        <v>53487176.892222084</v>
      </c>
      <c r="C57" s="818">
        <f>A57*($B$36+$B$38+$B$40)/'E-Costos'!$B$86</f>
        <v>76203773.417712346</v>
      </c>
      <c r="D57" s="818">
        <f t="shared" si="16"/>
        <v>129690950.30993444</v>
      </c>
      <c r="E57" s="819">
        <f>A57*'E-Costos'!$B$87</f>
        <v>112000000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545">
        <v>9000000</v>
      </c>
      <c r="B58" s="660">
        <f t="shared" si="15"/>
        <v>53487176.892222084</v>
      </c>
      <c r="C58" s="818">
        <f>A58*($B$36+$B$38+$B$40)/'E-Costos'!$B$86</f>
        <v>85729245.094926387</v>
      </c>
      <c r="D58" s="818">
        <f t="shared" si="16"/>
        <v>139216421.98714846</v>
      </c>
      <c r="E58" s="819">
        <f>A58*'E-Costos'!$B$87</f>
        <v>126000000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896">
        <v>10000000</v>
      </c>
      <c r="B59" s="660">
        <f t="shared" si="15"/>
        <v>53487176.892222084</v>
      </c>
      <c r="C59" s="818">
        <f>A59*($B$36+$B$38+$B$40)/'E-Costos'!$B$86</f>
        <v>95254716.772140428</v>
      </c>
      <c r="D59" s="818">
        <f t="shared" si="16"/>
        <v>148741893.66436252</v>
      </c>
      <c r="E59" s="819">
        <f>A59*'E-Costos'!$B$87</f>
        <v>140000000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545">
        <v>11000000</v>
      </c>
      <c r="B60" s="660">
        <f t="shared" si="15"/>
        <v>53487176.892222084</v>
      </c>
      <c r="C60" s="818">
        <f>A60*($B$36+$B$38+$B$40)/'E-Costos'!$B$86</f>
        <v>104780188.44935447</v>
      </c>
      <c r="D60" s="818">
        <f t="shared" si="16"/>
        <v>158267365.34157655</v>
      </c>
      <c r="E60" s="819">
        <f>A60*'E-Costos'!$B$87</f>
        <v>154000000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896">
        <v>12000000</v>
      </c>
      <c r="B61" s="660">
        <f t="shared" si="15"/>
        <v>53487176.892222084</v>
      </c>
      <c r="C61" s="818">
        <f>A61*($B$36+$B$38+$B$40)/'E-Costos'!$B$86</f>
        <v>114305660.12656853</v>
      </c>
      <c r="D61" s="818">
        <f t="shared" si="16"/>
        <v>167792837.0187906</v>
      </c>
      <c r="E61" s="819">
        <f>A61*'E-Costos'!$B$87</f>
        <v>168000000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545">
        <v>13000000</v>
      </c>
      <c r="B62" s="660">
        <f t="shared" si="15"/>
        <v>53487176.892222084</v>
      </c>
      <c r="C62" s="818">
        <f>A62*($B$36+$B$38+$B$40)/'E-Costos'!$B$86</f>
        <v>123831131.80378257</v>
      </c>
      <c r="D62" s="818">
        <f t="shared" si="16"/>
        <v>177318308.69600466</v>
      </c>
      <c r="E62" s="819">
        <f>A62*'E-Costos'!$B$87</f>
        <v>182000000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896">
        <v>14000000</v>
      </c>
      <c r="B63" s="660">
        <f t="shared" si="15"/>
        <v>53487176.892222084</v>
      </c>
      <c r="C63" s="818">
        <f>A63*($B$36+$B$38+$B$40)/'E-Costos'!$B$86</f>
        <v>133356603.48099659</v>
      </c>
      <c r="D63" s="818">
        <f t="shared" si="16"/>
        <v>186843780.37321869</v>
      </c>
      <c r="E63" s="819">
        <f>A63*'E-Costos'!$B$87</f>
        <v>196000000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545">
        <v>15000000</v>
      </c>
      <c r="B64" s="660">
        <f t="shared" si="15"/>
        <v>53487176.892222084</v>
      </c>
      <c r="C64" s="818">
        <f>A64*($B$36+$B$38+$B$40)/'E-Costos'!$B$86</f>
        <v>142882075.15821064</v>
      </c>
      <c r="D64" s="818">
        <f t="shared" si="16"/>
        <v>196369252.05043271</v>
      </c>
      <c r="E64" s="819">
        <f>A64*'E-Costos'!$B$87</f>
        <v>210000000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 thickBot="1">
      <c r="A65" s="896">
        <v>16000000</v>
      </c>
      <c r="B65" s="889">
        <f t="shared" si="15"/>
        <v>53487176.892222084</v>
      </c>
      <c r="C65" s="890">
        <f>A65*($B$36+$B$38+$B$40)/'E-Costos'!$B$86</f>
        <v>152407546.83542469</v>
      </c>
      <c r="D65" s="890">
        <f t="shared" si="16"/>
        <v>205894723.72764677</v>
      </c>
      <c r="E65" s="891">
        <f>A65*'E-Costos'!$B$87</f>
        <v>224000000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 thickBot="1">
      <c r="A66" s="894" t="s">
        <v>535</v>
      </c>
      <c r="B66" s="951">
        <f>($B$37+$B$39+$B$41+$B$42)/(B43/'E-Costos'!B88)</f>
        <v>167351824.02977264</v>
      </c>
      <c r="C66" s="952"/>
      <c r="D66" s="895">
        <f>A60+(A50*((D60-D59)/(E60-E59)))</f>
        <v>11680390.834086716</v>
      </c>
      <c r="E66" s="892" t="s">
        <v>536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471"/>
      <c r="B67" s="471"/>
      <c r="C67" s="471"/>
      <c r="D67" s="471"/>
      <c r="E67" s="471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939" t="s">
        <v>363</v>
      </c>
      <c r="B68" s="940"/>
      <c r="C68" s="940"/>
      <c r="D68" s="940"/>
      <c r="E68" s="941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657" t="s">
        <v>20</v>
      </c>
      <c r="B69" s="658" t="s">
        <v>531</v>
      </c>
      <c r="C69" s="658" t="s">
        <v>532</v>
      </c>
      <c r="D69" s="658" t="s">
        <v>533</v>
      </c>
      <c r="E69" s="658" t="s">
        <v>534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540">
        <v>0</v>
      </c>
      <c r="B70" s="660">
        <f t="shared" ref="B70:B86" si="17">$F$37+$F$39+$F$41+$F$42</f>
        <v>53178907.67469354</v>
      </c>
      <c r="C70" s="666">
        <f>A70*($F$36+$F$38+$F$40)/'E-Costos'!$F$86</f>
        <v>0</v>
      </c>
      <c r="D70" s="818">
        <f t="shared" ref="D70:D86" si="18">B70+C70</f>
        <v>53178907.67469354</v>
      </c>
      <c r="E70" s="822">
        <f>A70*'E-Costos'!$F$87</f>
        <v>0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820">
        <v>1000000</v>
      </c>
      <c r="B71" s="660">
        <f t="shared" si="17"/>
        <v>53178907.67469354</v>
      </c>
      <c r="C71" s="666">
        <f>A71*($F$36+$F$38+$F$40)/'E-Costos'!$F$86</f>
        <v>9301918.3778286465</v>
      </c>
      <c r="D71" s="818">
        <f t="shared" si="18"/>
        <v>62480826.052522182</v>
      </c>
      <c r="E71" s="822">
        <f>A71*'E-Costos'!$F$87</f>
        <v>14000000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821">
        <v>2000000</v>
      </c>
      <c r="B72" s="660">
        <f t="shared" si="17"/>
        <v>53178907.67469354</v>
      </c>
      <c r="C72" s="666">
        <f>A72*($F$36+$F$38+$F$40)/'E-Costos'!$F$86</f>
        <v>18603836.755657293</v>
      </c>
      <c r="D72" s="818">
        <f t="shared" si="18"/>
        <v>71782744.43035084</v>
      </c>
      <c r="E72" s="822">
        <f>A72*'E-Costos'!$F$87</f>
        <v>28000000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820">
        <v>3000000</v>
      </c>
      <c r="B73" s="660">
        <f t="shared" si="17"/>
        <v>53178907.67469354</v>
      </c>
      <c r="C73" s="666">
        <f>A73*($F$36+$F$38+$F$40)/'E-Costos'!$F$86</f>
        <v>27905755.133485936</v>
      </c>
      <c r="D73" s="818">
        <f t="shared" si="18"/>
        <v>81084662.808179468</v>
      </c>
      <c r="E73" s="822">
        <f>A73*'E-Costos'!$F$87</f>
        <v>42000000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821">
        <v>4000000</v>
      </c>
      <c r="B74" s="660">
        <f t="shared" si="17"/>
        <v>53178907.67469354</v>
      </c>
      <c r="C74" s="666">
        <f>A74*($F$36+$F$38+$F$40)/'E-Costos'!$F$86</f>
        <v>37207673.511314586</v>
      </c>
      <c r="D74" s="818">
        <f t="shared" si="18"/>
        <v>90386581.186008126</v>
      </c>
      <c r="E74" s="822">
        <f>A74*'E-Costos'!$F$87</f>
        <v>56000000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820">
        <v>5000000</v>
      </c>
      <c r="B75" s="660">
        <f t="shared" si="17"/>
        <v>53178907.67469354</v>
      </c>
      <c r="C75" s="666">
        <f>A75*($F$36+$F$38+$F$40)/'E-Costos'!$F$86</f>
        <v>46509591.889143221</v>
      </c>
      <c r="D75" s="818">
        <f t="shared" si="18"/>
        <v>99688499.563836753</v>
      </c>
      <c r="E75" s="822">
        <f>A75*'E-Costos'!$F$87</f>
        <v>70000000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821">
        <v>6000000</v>
      </c>
      <c r="B76" s="660">
        <f t="shared" si="17"/>
        <v>53178907.67469354</v>
      </c>
      <c r="C76" s="666">
        <f>A76*($F$36+$F$38+$F$40)/'E-Costos'!$F$86</f>
        <v>55811510.266971871</v>
      </c>
      <c r="D76" s="818">
        <f t="shared" si="18"/>
        <v>108990417.94166541</v>
      </c>
      <c r="E76" s="822">
        <f>A76*'E-Costos'!$F$87</f>
        <v>84000000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820">
        <v>7000000</v>
      </c>
      <c r="B77" s="660">
        <f t="shared" si="17"/>
        <v>53178907.67469354</v>
      </c>
      <c r="C77" s="666">
        <f>A77*($F$36+$F$38+$F$40)/'E-Costos'!$F$86</f>
        <v>65113428.644800521</v>
      </c>
      <c r="D77" s="818">
        <f t="shared" si="18"/>
        <v>118292336.31949407</v>
      </c>
      <c r="E77" s="822">
        <f>A77*'E-Costos'!$F$87</f>
        <v>98000000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821">
        <v>8000000</v>
      </c>
      <c r="B78" s="660">
        <f t="shared" si="17"/>
        <v>53178907.67469354</v>
      </c>
      <c r="C78" s="666">
        <f>A78*($F$36+$F$38+$F$40)/'E-Costos'!$F$86</f>
        <v>74415347.022629172</v>
      </c>
      <c r="D78" s="818">
        <f t="shared" si="18"/>
        <v>127594254.69732271</v>
      </c>
      <c r="E78" s="822">
        <f>A78*'E-Costos'!$F$87</f>
        <v>112000000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820">
        <v>9000000</v>
      </c>
      <c r="B79" s="660">
        <f t="shared" si="17"/>
        <v>53178907.67469354</v>
      </c>
      <c r="C79" s="666">
        <f>A79*($F$36+$F$38+$F$40)/'E-Costos'!$F$86</f>
        <v>83717265.400457799</v>
      </c>
      <c r="D79" s="818">
        <f t="shared" si="18"/>
        <v>136896173.07515132</v>
      </c>
      <c r="E79" s="822">
        <f>A79*'E-Costos'!$F$87</f>
        <v>126000000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821">
        <v>10000000</v>
      </c>
      <c r="B80" s="660">
        <f t="shared" si="17"/>
        <v>53178907.67469354</v>
      </c>
      <c r="C80" s="666">
        <f>A80*($F$36+$F$38+$F$40)/'E-Costos'!$F$86</f>
        <v>93019183.778286442</v>
      </c>
      <c r="D80" s="818">
        <f t="shared" si="18"/>
        <v>146198091.45297998</v>
      </c>
      <c r="E80" s="822">
        <f>A80*'E-Costos'!$F$87</f>
        <v>140000000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820">
        <v>11000000</v>
      </c>
      <c r="B81" s="660">
        <f t="shared" si="17"/>
        <v>53178907.67469354</v>
      </c>
      <c r="C81" s="666">
        <f>A81*($F$36+$F$38+$F$40)/'E-Costos'!$F$86</f>
        <v>102321102.1561151</v>
      </c>
      <c r="D81" s="818">
        <f t="shared" si="18"/>
        <v>155500009.83080864</v>
      </c>
      <c r="E81" s="822">
        <f>A81*'E-Costos'!$F$87</f>
        <v>154000000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821">
        <v>12000000</v>
      </c>
      <c r="B82" s="660">
        <f t="shared" si="17"/>
        <v>53178907.67469354</v>
      </c>
      <c r="C82" s="666">
        <f>A82*($F$36+$F$38+$F$40)/'E-Costos'!$F$86</f>
        <v>111623020.53394374</v>
      </c>
      <c r="D82" s="818">
        <f t="shared" si="18"/>
        <v>164801928.2086373</v>
      </c>
      <c r="E82" s="822">
        <f>A82*'E-Costos'!$F$87</f>
        <v>168000000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820">
        <v>13000000</v>
      </c>
      <c r="B83" s="660">
        <f t="shared" si="17"/>
        <v>53178907.67469354</v>
      </c>
      <c r="C83" s="666">
        <f>A83*($F$36+$F$38+$F$40)/'E-Costos'!$F$86</f>
        <v>120924938.91177239</v>
      </c>
      <c r="D83" s="818">
        <f t="shared" si="18"/>
        <v>174103846.58646592</v>
      </c>
      <c r="E83" s="822">
        <f>A83*'E-Costos'!$F$87</f>
        <v>182000000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821">
        <v>14000000</v>
      </c>
      <c r="B84" s="660">
        <f t="shared" si="17"/>
        <v>53178907.67469354</v>
      </c>
      <c r="C84" s="666">
        <f>A84*($F$36+$F$38+$F$40)/'E-Costos'!$F$86</f>
        <v>130226857.28960104</v>
      </c>
      <c r="D84" s="818">
        <f t="shared" si="18"/>
        <v>183405764.96429458</v>
      </c>
      <c r="E84" s="822">
        <f>A84*'E-Costos'!$F$87</f>
        <v>196000000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820">
        <v>15000000</v>
      </c>
      <c r="B85" s="660">
        <f t="shared" si="17"/>
        <v>53178907.67469354</v>
      </c>
      <c r="C85" s="666">
        <f>A85*($F$36+$F$38+$F$40)/'E-Costos'!$F$86</f>
        <v>139528775.66742969</v>
      </c>
      <c r="D85" s="818">
        <f t="shared" si="18"/>
        <v>192707683.34212321</v>
      </c>
      <c r="E85" s="822">
        <f>A85*'E-Costos'!$F$87</f>
        <v>210000000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 thickBot="1">
      <c r="A86" s="893">
        <v>16000000</v>
      </c>
      <c r="B86" s="889">
        <f t="shared" si="17"/>
        <v>53178907.67469354</v>
      </c>
      <c r="C86" s="666">
        <f>A86*($F$36+$F$38+$F$40)/'E-Costos'!$F$86</f>
        <v>148830694.04525834</v>
      </c>
      <c r="D86" s="890">
        <f t="shared" si="18"/>
        <v>202009601.71995187</v>
      </c>
      <c r="E86" s="666">
        <f>A86*'E-Costos'!$F$87</f>
        <v>224000000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 thickBot="1">
      <c r="A87" s="894" t="s">
        <v>535</v>
      </c>
      <c r="B87" s="951">
        <f>(F37+F39+F41+F42)/(F43/'E-Costos'!F88)</f>
        <v>158469938.86445403</v>
      </c>
      <c r="C87" s="952"/>
      <c r="D87" s="895">
        <f>A81+(A71*((D81-D80)/(E81-E80)))</f>
        <v>11664422.741273476</v>
      </c>
      <c r="E87" s="892" t="s">
        <v>536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mergeCells count="4">
    <mergeCell ref="A47:E47"/>
    <mergeCell ref="A68:E68"/>
    <mergeCell ref="B87:C87"/>
    <mergeCell ref="B66:C66"/>
  </mergeCells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>
      <selection activeCell="G19" sqref="G19"/>
    </sheetView>
  </sheetViews>
  <sheetFormatPr baseColWidth="10" defaultColWidth="14.42578125" defaultRowHeight="15" customHeight="1"/>
  <cols>
    <col min="1" max="1" width="42.85546875" customWidth="1"/>
    <col min="2" max="2" width="15.5703125" customWidth="1"/>
    <col min="3" max="3" width="17.140625" customWidth="1"/>
    <col min="4" max="4" width="14.85546875" bestFit="1" customWidth="1"/>
    <col min="5" max="5" width="18.140625" customWidth="1"/>
    <col min="6" max="6" width="19.7109375" customWidth="1"/>
    <col min="7" max="7" width="19.42578125" customWidth="1"/>
    <col min="8" max="26" width="10" customWidth="1"/>
  </cols>
  <sheetData>
    <row r="1" spans="1:26" ht="12.75" customHeight="1">
      <c r="A1" s="2" t="s">
        <v>0</v>
      </c>
      <c r="E1" s="3">
        <f>InfoInicial!E1</f>
        <v>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519" t="s">
        <v>385</v>
      </c>
      <c r="B2" s="508"/>
      <c r="C2" s="508"/>
      <c r="D2" s="508"/>
      <c r="E2" s="508"/>
      <c r="F2" s="508"/>
      <c r="G2" s="50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520"/>
      <c r="B3" s="521" t="s">
        <v>386</v>
      </c>
      <c r="C3" s="521"/>
      <c r="D3" s="521"/>
      <c r="E3" s="521"/>
      <c r="F3" s="521"/>
      <c r="G3" s="522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 customHeight="1">
      <c r="A4" s="523" t="s">
        <v>359</v>
      </c>
      <c r="B4" s="524" t="s">
        <v>71</v>
      </c>
      <c r="C4" s="44" t="s">
        <v>72</v>
      </c>
      <c r="D4" s="44" t="s">
        <v>360</v>
      </c>
      <c r="E4" s="44" t="s">
        <v>361</v>
      </c>
      <c r="F4" s="44" t="s">
        <v>362</v>
      </c>
      <c r="G4" s="45" t="s">
        <v>363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525" t="s">
        <v>643</v>
      </c>
      <c r="B5" s="526"/>
      <c r="C5" s="512"/>
      <c r="D5" s="512"/>
      <c r="E5" s="512"/>
      <c r="F5" s="512"/>
      <c r="G5" s="513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527" t="s">
        <v>644</v>
      </c>
      <c r="B6" s="547">
        <v>0</v>
      </c>
      <c r="C6" s="514">
        <f>'E-IVA '!C17</f>
        <v>43230651.628033713</v>
      </c>
      <c r="D6" s="514">
        <f>'E-IVA '!D17</f>
        <v>51805583.51816766</v>
      </c>
      <c r="E6" s="514">
        <f>'E-IVA '!E17</f>
        <v>51815141.416719824</v>
      </c>
      <c r="F6" s="514">
        <f>'E-IVA '!F17</f>
        <v>51815907.760567002</v>
      </c>
      <c r="G6" s="514">
        <f>'E-IVA '!G17</f>
        <v>51815157.876262449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527" t="s">
        <v>645</v>
      </c>
      <c r="B7" s="547">
        <v>0</v>
      </c>
      <c r="C7" s="514">
        <f>'E-IVA '!C18</f>
        <v>7701818.2592417132</v>
      </c>
      <c r="D7" s="514">
        <f>'E-IVA '!D18</f>
        <v>7704162.4018300939</v>
      </c>
      <c r="E7" s="514">
        <f>'E-IVA '!E18</f>
        <v>7704162.4018300939</v>
      </c>
      <c r="F7" s="514">
        <f>'E-IVA '!F18</f>
        <v>7705465.7112801168</v>
      </c>
      <c r="G7" s="514">
        <f>'E-IVA '!G18</f>
        <v>7705465.7112801168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823" t="s">
        <v>646</v>
      </c>
      <c r="B8" s="547">
        <v>0</v>
      </c>
      <c r="C8" s="514">
        <f>'E-IVA '!C19</f>
        <v>34913.502231331171</v>
      </c>
      <c r="D8" s="514">
        <f>'E-IVA '!D19</f>
        <v>36346.084181382103</v>
      </c>
      <c r="E8" s="514">
        <f>'E-IVA '!E19</f>
        <v>36346.084181382103</v>
      </c>
      <c r="F8" s="514">
        <f>'E-IVA '!F19</f>
        <v>37300.500275755621</v>
      </c>
      <c r="G8" s="514">
        <f>'E-IVA '!G19</f>
        <v>37300.500275755621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823" t="s">
        <v>647</v>
      </c>
      <c r="B9" s="547">
        <v>0</v>
      </c>
      <c r="C9" s="514">
        <f>('F-Cred'!$G19+'F-Cred'!$I19)*0.021</f>
        <v>35618.287368369623</v>
      </c>
      <c r="D9" s="514">
        <f>('F-Cred'!$G19+'F-Cred'!$I19)*0.021</f>
        <v>35618.287368369623</v>
      </c>
      <c r="E9" s="514">
        <f>('F-Cred'!$G19+'F-Cred'!$I19)*0.021</f>
        <v>35618.287368369623</v>
      </c>
      <c r="F9" s="514">
        <f>('F-Cred'!$G19+'F-Cred'!$I19)*0.021</f>
        <v>35618.287368369623</v>
      </c>
      <c r="G9" s="514">
        <f>('F-Cred'!$G19+'F-Cred'!$I19)*0.021</f>
        <v>35618.287368369623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.75" customHeight="1">
      <c r="A10" s="535" t="s">
        <v>648</v>
      </c>
      <c r="B10" s="824">
        <v>0</v>
      </c>
      <c r="C10" s="518">
        <f t="shared" ref="C10:G10" si="0">SUM(C6:C9)</f>
        <v>51003001.676875129</v>
      </c>
      <c r="D10" s="518">
        <f t="shared" si="0"/>
        <v>59581710.291547507</v>
      </c>
      <c r="E10" s="518">
        <f t="shared" si="0"/>
        <v>59591268.190099671</v>
      </c>
      <c r="F10" s="518">
        <f t="shared" si="0"/>
        <v>59594292.259491242</v>
      </c>
      <c r="G10" s="518">
        <f t="shared" si="0"/>
        <v>59593542.375186689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535"/>
      <c r="B11" s="528"/>
      <c r="C11" s="514"/>
      <c r="D11" s="514"/>
      <c r="E11" s="514"/>
      <c r="F11" s="514"/>
      <c r="G11" s="517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527" t="s">
        <v>407</v>
      </c>
      <c r="B12" s="547">
        <v>0</v>
      </c>
      <c r="C12" s="514">
        <f t="shared" ref="C12:G12" si="1">+C10</f>
        <v>51003001.676875129</v>
      </c>
      <c r="D12" s="514">
        <f t="shared" si="1"/>
        <v>59581710.291547507</v>
      </c>
      <c r="E12" s="514">
        <f t="shared" si="1"/>
        <v>59591268.190099671</v>
      </c>
      <c r="F12" s="514">
        <f t="shared" si="1"/>
        <v>59594292.259491242</v>
      </c>
      <c r="G12" s="514">
        <f t="shared" si="1"/>
        <v>59593542.375186689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527" t="s">
        <v>409</v>
      </c>
      <c r="B13" s="547">
        <v>0</v>
      </c>
      <c r="C13" s="514">
        <f>'E-IVA '!C22</f>
        <v>70229250</v>
      </c>
      <c r="D13" s="514">
        <f>'E-IVA '!D22</f>
        <v>82852875</v>
      </c>
      <c r="E13" s="514">
        <f>'E-IVA '!E22</f>
        <v>82852875</v>
      </c>
      <c r="F13" s="514">
        <f>'E-IVA '!F22</f>
        <v>82852875</v>
      </c>
      <c r="G13" s="514">
        <f>'E-IVA '!G22</f>
        <v>82852875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535" t="s">
        <v>649</v>
      </c>
      <c r="B14" s="547">
        <v>0</v>
      </c>
      <c r="C14" s="514">
        <f t="shared" ref="C14:G14" si="2">C13-C12</f>
        <v>19226248.323124871</v>
      </c>
      <c r="D14" s="514">
        <f t="shared" si="2"/>
        <v>23271164.708452493</v>
      </c>
      <c r="E14" s="514">
        <f t="shared" si="2"/>
        <v>23261606.809900329</v>
      </c>
      <c r="F14" s="514">
        <f t="shared" si="2"/>
        <v>23258582.740508758</v>
      </c>
      <c r="G14" s="514">
        <f t="shared" si="2"/>
        <v>23259332.624813311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527"/>
      <c r="B15" s="528"/>
      <c r="C15" s="514"/>
      <c r="D15" s="514"/>
      <c r="E15" s="514"/>
      <c r="F15" s="514"/>
      <c r="G15" s="517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546" t="s">
        <v>650</v>
      </c>
      <c r="B16" s="547">
        <v>0</v>
      </c>
      <c r="C16" s="514">
        <f t="shared" ref="C16:G16" si="3">B18</f>
        <v>12449758.371554231</v>
      </c>
      <c r="D16" s="514">
        <f t="shared" si="3"/>
        <v>0</v>
      </c>
      <c r="E16" s="514">
        <f t="shared" si="3"/>
        <v>0</v>
      </c>
      <c r="F16" s="514">
        <f t="shared" si="3"/>
        <v>0</v>
      </c>
      <c r="G16" s="514">
        <f t="shared" si="3"/>
        <v>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546" t="s">
        <v>651</v>
      </c>
      <c r="B17" s="528">
        <f>'F-2 Estructura'!B9+'F-2 Estructura'!B21</f>
        <v>12449758.371554231</v>
      </c>
      <c r="C17" s="547">
        <f>'F-2 Estructura'!C9+'F-2 Estructura'!C21</f>
        <v>542244.14212710282</v>
      </c>
      <c r="D17" s="514">
        <f>'E-IVA '!D26</f>
        <v>392753.61126273288</v>
      </c>
      <c r="E17" s="514">
        <f>'E-IVA '!E26</f>
        <v>6.6617201057961211</v>
      </c>
      <c r="F17" s="514">
        <f>'E-IVA '!F26</f>
        <v>1515.6463145261514</v>
      </c>
      <c r="G17" s="514">
        <f>'E-IVA '!G26</f>
        <v>-0.99637391150463372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535" t="s">
        <v>652</v>
      </c>
      <c r="B18" s="528">
        <f>B17</f>
        <v>12449758.371554231</v>
      </c>
      <c r="C18" s="514">
        <f t="shared" ref="C18:G18" si="4">IF(C16+C17-C14&gt;0,C16+C17-C14,0)</f>
        <v>0</v>
      </c>
      <c r="D18" s="514">
        <f t="shared" si="4"/>
        <v>0</v>
      </c>
      <c r="E18" s="514">
        <f t="shared" si="4"/>
        <v>0</v>
      </c>
      <c r="F18" s="514">
        <f t="shared" si="4"/>
        <v>0</v>
      </c>
      <c r="G18" s="514">
        <f t="shared" si="4"/>
        <v>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535" t="s">
        <v>653</v>
      </c>
      <c r="B19" s="547">
        <v>0</v>
      </c>
      <c r="C19" s="514">
        <f t="shared" ref="C19:F19" si="5">IF(C16+C17&gt;C14,C14,IF(C14-C16-C17&gt;0,C16+C17,0))</f>
        <v>12992002.513681334</v>
      </c>
      <c r="D19" s="514">
        <f t="shared" si="5"/>
        <v>392753.61126273288</v>
      </c>
      <c r="E19" s="514">
        <f t="shared" si="5"/>
        <v>6.6617201057961211</v>
      </c>
      <c r="F19" s="514">
        <f t="shared" si="5"/>
        <v>1515.6463145261514</v>
      </c>
      <c r="G19" s="514">
        <f>IF(G16+G17&gt;G14,G14,IF((G16-G17)&gt;0,G16+G17,0))</f>
        <v>-0.99637391150463372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527"/>
      <c r="B20" s="528"/>
      <c r="C20" s="514"/>
      <c r="D20" s="825"/>
      <c r="E20" s="825"/>
      <c r="F20" s="825"/>
      <c r="G20" s="826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549" t="s">
        <v>415</v>
      </c>
      <c r="B21" s="550">
        <v>0</v>
      </c>
      <c r="C21" s="551">
        <f t="shared" ref="C21:G21" si="6">IF(C14-C18-C19&gt;0,C14-C18-C19,0)</f>
        <v>6234245.8094435371</v>
      </c>
      <c r="D21" s="551">
        <f t="shared" si="6"/>
        <v>22878411.097189762</v>
      </c>
      <c r="E21" s="551">
        <f t="shared" si="6"/>
        <v>23261600.148180224</v>
      </c>
      <c r="F21" s="551">
        <f t="shared" si="6"/>
        <v>23257067.09419423</v>
      </c>
      <c r="G21" s="551">
        <f t="shared" si="6"/>
        <v>23259333.621187221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>
      <selection activeCell="C32" sqref="C32"/>
    </sheetView>
  </sheetViews>
  <sheetFormatPr baseColWidth="10" defaultColWidth="14.42578125" defaultRowHeight="15" customHeight="1"/>
  <cols>
    <col min="1" max="1" width="40.85546875" customWidth="1"/>
    <col min="2" max="2" width="14.7109375" customWidth="1"/>
    <col min="3" max="3" width="17.85546875" customWidth="1"/>
    <col min="4" max="4" width="17.7109375" customWidth="1"/>
    <col min="5" max="5" width="18.42578125" customWidth="1"/>
    <col min="6" max="6" width="17.7109375" customWidth="1"/>
    <col min="7" max="7" width="15.85546875" bestFit="1" customWidth="1"/>
    <col min="8" max="8" width="21.7109375" customWidth="1"/>
    <col min="9" max="9" width="17.28515625" customWidth="1"/>
    <col min="10" max="14" width="11.28515625" customWidth="1"/>
    <col min="15" max="26" width="10" customWidth="1"/>
  </cols>
  <sheetData>
    <row r="1" spans="1:26" ht="12.75" customHeight="1">
      <c r="A1" s="2" t="s">
        <v>0</v>
      </c>
      <c r="E1" s="3">
        <f>InfoInicial!E1</f>
        <v>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690" t="s">
        <v>654</v>
      </c>
      <c r="B3" s="647"/>
      <c r="C3" s="647"/>
      <c r="D3" s="647"/>
      <c r="E3" s="647"/>
      <c r="F3" s="647"/>
      <c r="G3" s="827"/>
      <c r="H3" s="648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 customHeight="1">
      <c r="A4" s="50"/>
      <c r="B4" s="600" t="s">
        <v>71</v>
      </c>
      <c r="C4" s="600" t="s">
        <v>72</v>
      </c>
      <c r="D4" s="600" t="s">
        <v>360</v>
      </c>
      <c r="E4" s="600" t="s">
        <v>361</v>
      </c>
      <c r="F4" s="600" t="s">
        <v>362</v>
      </c>
      <c r="G4" s="615" t="s">
        <v>363</v>
      </c>
      <c r="H4" s="601" t="s">
        <v>211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35" t="s">
        <v>655</v>
      </c>
      <c r="B5" s="610">
        <f t="shared" ref="B5:G5" si="0">SUM(B6:B11)</f>
        <v>72597673.398371994</v>
      </c>
      <c r="C5" s="610">
        <f t="shared" si="0"/>
        <v>414900547.74813408</v>
      </c>
      <c r="D5" s="610">
        <f t="shared" si="0"/>
        <v>483492486.37115753</v>
      </c>
      <c r="E5" s="610">
        <f t="shared" si="0"/>
        <v>525505674.51093733</v>
      </c>
      <c r="F5" s="610">
        <f t="shared" si="0"/>
        <v>576159509.38114178</v>
      </c>
      <c r="G5" s="610">
        <f t="shared" si="0"/>
        <v>626597440.09572041</v>
      </c>
      <c r="H5" s="828">
        <f t="shared" ref="H5:H11" si="1">SUM(B5:G5)</f>
        <v>2699253331.5054631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40" t="s">
        <v>656</v>
      </c>
      <c r="B6" s="515">
        <v>0</v>
      </c>
      <c r="C6" s="515">
        <v>0</v>
      </c>
      <c r="D6" s="829">
        <f t="shared" ref="D6:G6" si="2">C27</f>
        <v>88562232.759894773</v>
      </c>
      <c r="E6" s="829">
        <f t="shared" si="2"/>
        <v>130968167.84921722</v>
      </c>
      <c r="F6" s="829">
        <f t="shared" si="2"/>
        <v>181620493.73482722</v>
      </c>
      <c r="G6" s="829">
        <f t="shared" si="2"/>
        <v>232059941.09209427</v>
      </c>
      <c r="H6" s="828">
        <f t="shared" si="1"/>
        <v>633210835.43603349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40" t="s">
        <v>657</v>
      </c>
      <c r="B7" s="830">
        <f>'F-2 Estructura'!B31</f>
        <v>68110224.751121998</v>
      </c>
      <c r="C7" s="830">
        <f>'F-2 Estructura'!C31</f>
        <v>55150394.772374511</v>
      </c>
      <c r="D7" s="830"/>
      <c r="E7" s="830"/>
      <c r="F7" s="653"/>
      <c r="G7" s="653"/>
      <c r="H7" s="828">
        <f t="shared" si="1"/>
        <v>123260619.52349651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40" t="s">
        <v>658</v>
      </c>
      <c r="B8" s="515">
        <f>'F-2 Estructura'!B29</f>
        <v>0</v>
      </c>
      <c r="C8" s="515">
        <f>'F-2 Estructura'!C29</f>
        <v>12333150.462078247</v>
      </c>
      <c r="D8" s="831"/>
      <c r="E8" s="547"/>
      <c r="F8" s="829"/>
      <c r="G8" s="829"/>
      <c r="H8" s="828">
        <f t="shared" si="1"/>
        <v>12333150.462078247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40" t="s">
        <v>659</v>
      </c>
      <c r="B9" s="830">
        <f>'F-Cred'!B13</f>
        <v>4487448.6472500004</v>
      </c>
      <c r="C9" s="830">
        <f>'F-Cred'!C13</f>
        <v>0</v>
      </c>
      <c r="D9" s="832"/>
      <c r="E9" s="833"/>
      <c r="F9" s="653"/>
      <c r="G9" s="653"/>
      <c r="H9" s="828">
        <f t="shared" si="1"/>
        <v>4487448.6472500004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.75" customHeight="1">
      <c r="A10" s="40" t="s">
        <v>660</v>
      </c>
      <c r="B10" s="515">
        <v>0</v>
      </c>
      <c r="C10" s="515">
        <f>'F-CRes'!B4</f>
        <v>334425000</v>
      </c>
      <c r="D10" s="831">
        <f>'F-CRes'!C4</f>
        <v>394537500</v>
      </c>
      <c r="E10" s="547">
        <f>'F-CRes'!D4</f>
        <v>394537500</v>
      </c>
      <c r="F10" s="515">
        <f>'F-CRes'!E4</f>
        <v>394537500</v>
      </c>
      <c r="G10" s="515">
        <f>'F-CRes'!F4</f>
        <v>394537500</v>
      </c>
      <c r="H10" s="828">
        <f t="shared" si="1"/>
        <v>1912575000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40" t="s">
        <v>661</v>
      </c>
      <c r="B11" s="834">
        <f>'F-IVA'!B19</f>
        <v>0</v>
      </c>
      <c r="C11" s="835">
        <f>'F-IVA'!C19</f>
        <v>12992002.513681334</v>
      </c>
      <c r="D11" s="836">
        <f>'F-IVA'!D19</f>
        <v>392753.61126273288</v>
      </c>
      <c r="E11" s="574">
        <f>'F-IVA'!E19</f>
        <v>6.6617201057961211</v>
      </c>
      <c r="F11" s="825">
        <f>'F-IVA'!F19</f>
        <v>1515.6463145261514</v>
      </c>
      <c r="G11" s="825">
        <f>'F-IVA'!G19</f>
        <v>-0.99637391150463372</v>
      </c>
      <c r="H11" s="828">
        <f t="shared" si="1"/>
        <v>13386277.436604787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40"/>
      <c r="B12" s="514"/>
      <c r="C12" s="837"/>
      <c r="D12" s="838"/>
      <c r="E12" s="528"/>
      <c r="F12" s="514"/>
      <c r="G12" s="559"/>
      <c r="H12" s="828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35" t="s">
        <v>662</v>
      </c>
      <c r="B13" s="514">
        <f t="shared" ref="B13:G13" si="3">SUM(B14:B22)</f>
        <v>77085122.045622006</v>
      </c>
      <c r="C13" s="837">
        <f t="shared" si="3"/>
        <v>329353797.0195992</v>
      </c>
      <c r="D13" s="838">
        <f t="shared" si="3"/>
        <v>355539800.5533002</v>
      </c>
      <c r="E13" s="528">
        <f t="shared" si="3"/>
        <v>346900662.80747002</v>
      </c>
      <c r="F13" s="514">
        <f t="shared" si="3"/>
        <v>346331884.04951137</v>
      </c>
      <c r="G13" s="514">
        <f t="shared" si="3"/>
        <v>346127495.65562463</v>
      </c>
      <c r="H13" s="828">
        <f t="shared" ref="H13:H17" si="4">SUM(B13:G13)</f>
        <v>1801338762.1311276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40" t="s">
        <v>663</v>
      </c>
      <c r="B14" s="830">
        <f>'F-2 Estructura'!B8</f>
        <v>18734458.97293482</v>
      </c>
      <c r="C14" s="832">
        <f>'F-2 Estructura'!C8</f>
        <v>4367863.6019559354</v>
      </c>
      <c r="D14" s="839"/>
      <c r="E14" s="839"/>
      <c r="F14" s="839"/>
      <c r="G14" s="840"/>
      <c r="H14" s="828">
        <f t="shared" si="4"/>
        <v>23102322.574890755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40" t="s">
        <v>588</v>
      </c>
      <c r="B15" s="514">
        <f>'E-InvAT'!B24</f>
        <v>45900904.701132953</v>
      </c>
      <c r="C15" s="837">
        <f>'E-InvAT'!C24</f>
        <v>27420701.360554069</v>
      </c>
      <c r="D15" s="838">
        <f>'E-InvAT'!D24</f>
        <v>8081880.2917273045</v>
      </c>
      <c r="E15" s="838">
        <f>'E-InvAT'!E24</f>
        <v>31.722476691007614</v>
      </c>
      <c r="F15" s="838">
        <f>'E-InvAT'!F24</f>
        <v>7217.3634025156498</v>
      </c>
      <c r="G15" s="528">
        <f>'E-InvAT'!G24</f>
        <v>-4.744637668132782</v>
      </c>
      <c r="H15" s="828">
        <f t="shared" si="4"/>
        <v>81410730.694655865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40" t="s">
        <v>664</v>
      </c>
      <c r="B16" s="515">
        <v>0</v>
      </c>
      <c r="C16" s="841">
        <f>SUM('F-CRes'!B5,'F-CRes'!B8:B10)</f>
        <v>272575703.67820454</v>
      </c>
      <c r="D16" s="841">
        <f>SUM('F-CRes'!C5,'F-CRes'!C8:C10)</f>
        <v>316798150.40064722</v>
      </c>
      <c r="E16" s="841">
        <f>SUM('F-CRes'!D5,'F-CRes'!D8:D10)</f>
        <v>316538517.69526356</v>
      </c>
      <c r="F16" s="841">
        <f>SUM('F-CRes'!E5,'F-CRes'!E8:E10)</f>
        <v>315627317.09016854</v>
      </c>
      <c r="G16" s="842">
        <f>SUM('F-CRes'!F5,'F-CRes'!F8:F10)</f>
        <v>315318599.70451468</v>
      </c>
      <c r="H16" s="828">
        <f t="shared" si="4"/>
        <v>1536858288.5687985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40" t="s">
        <v>665</v>
      </c>
      <c r="B17" s="515">
        <v>0</v>
      </c>
      <c r="C17" s="841">
        <f>'F-CRes'!B13</f>
        <v>21106072.369812712</v>
      </c>
      <c r="D17" s="841">
        <f>'F-CRes'!C13</f>
        <v>26528553.050779138</v>
      </c>
      <c r="E17" s="841">
        <f>'F-CRes'!D13</f>
        <v>26617152.711491309</v>
      </c>
      <c r="F17" s="841">
        <f>'F-CRes'!E13</f>
        <v>26928099.917979993</v>
      </c>
      <c r="G17" s="842">
        <f>'F-CRes'!F13</f>
        <v>27033449.725834347</v>
      </c>
      <c r="H17" s="828">
        <f t="shared" si="4"/>
        <v>128213327.77589747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40" t="s">
        <v>666</v>
      </c>
      <c r="B18" s="843">
        <v>0</v>
      </c>
      <c r="C18" s="832">
        <f>'F-Cred'!$E19</f>
        <v>1794979.4589000002</v>
      </c>
      <c r="D18" s="839">
        <f>'F-Cred'!$E21</f>
        <v>1794979.4589000002</v>
      </c>
      <c r="E18" s="839">
        <f>'F-Cred'!$E23</f>
        <v>1794979.4589000002</v>
      </c>
      <c r="F18" s="839">
        <f>'F-Cred'!$E25</f>
        <v>1794979.4589000002</v>
      </c>
      <c r="G18" s="833">
        <f>'F-Cred'!$E27</f>
        <v>1794979.4589000002</v>
      </c>
      <c r="H18" s="828">
        <f>SUM(C18:G18)</f>
        <v>8974897.2945000008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40" t="s">
        <v>669</v>
      </c>
      <c r="B19" s="515">
        <v>0</v>
      </c>
      <c r="C19" s="837">
        <f>'F-CRes'!B12</f>
        <v>1546232.4080448877</v>
      </c>
      <c r="D19" s="838">
        <f>'F-CRes'!C12</f>
        <v>1943483.7399838199</v>
      </c>
      <c r="E19" s="838">
        <f>'F-CRes'!D12</f>
        <v>1949974.557618411</v>
      </c>
      <c r="F19" s="838">
        <f>'F-CRes'!E12</f>
        <v>1972754.572745787</v>
      </c>
      <c r="G19" s="528">
        <f>'F-CRes'!F12</f>
        <v>1980472.5073871319</v>
      </c>
      <c r="H19" s="828">
        <f t="shared" ref="H19:H22" si="5">SUM(B19:G19)</f>
        <v>9392917.7857800368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40" t="s">
        <v>672</v>
      </c>
      <c r="B20" s="843">
        <v>0</v>
      </c>
      <c r="C20" s="847">
        <v>0</v>
      </c>
      <c r="D20" s="848">
        <v>0</v>
      </c>
      <c r="E20" s="848">
        <v>0</v>
      </c>
      <c r="F20" s="848">
        <v>0</v>
      </c>
      <c r="G20" s="849">
        <v>0</v>
      </c>
      <c r="H20" s="828">
        <f t="shared" si="5"/>
        <v>0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40" t="s">
        <v>674</v>
      </c>
      <c r="B21" s="514">
        <f>'F-IVA'!B17</f>
        <v>12449758.371554231</v>
      </c>
      <c r="C21" s="837">
        <f>'F-IVA'!C17</f>
        <v>542244.14212710282</v>
      </c>
      <c r="D21" s="838">
        <f>'F-IVA'!D17</f>
        <v>392753.61126273288</v>
      </c>
      <c r="E21" s="528">
        <f>'F-IVA'!E17</f>
        <v>6.6617201057961211</v>
      </c>
      <c r="F21" s="514">
        <f>'F-IVA'!F17</f>
        <v>1515.6463145261514</v>
      </c>
      <c r="G21" s="514">
        <f>'F-IVA'!G17</f>
        <v>-0.99637391150463372</v>
      </c>
      <c r="H21" s="828">
        <f t="shared" si="5"/>
        <v>13386277.436604787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40" t="s">
        <v>680</v>
      </c>
      <c r="B22" s="649">
        <v>0</v>
      </c>
      <c r="C22" s="834"/>
      <c r="D22" s="835"/>
      <c r="E22" s="850"/>
      <c r="F22" s="834"/>
      <c r="G22" s="851"/>
      <c r="H22" s="828">
        <f t="shared" si="5"/>
        <v>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40"/>
      <c r="B23" s="514"/>
      <c r="C23" s="514"/>
      <c r="D23" s="837"/>
      <c r="E23" s="528"/>
      <c r="F23" s="514"/>
      <c r="G23" s="559"/>
      <c r="H23" s="82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35" t="s">
        <v>682</v>
      </c>
      <c r="B24" s="852">
        <v>0</v>
      </c>
      <c r="C24" s="518">
        <f t="shared" ref="C24:G24" si="6">C5-C13</f>
        <v>85546750.728534877</v>
      </c>
      <c r="D24" s="518">
        <f t="shared" si="6"/>
        <v>127952685.81785733</v>
      </c>
      <c r="E24" s="518">
        <f t="shared" si="6"/>
        <v>178605011.70346731</v>
      </c>
      <c r="F24" s="518">
        <f t="shared" si="6"/>
        <v>229827625.33163041</v>
      </c>
      <c r="G24" s="518">
        <f t="shared" si="6"/>
        <v>280469944.44009578</v>
      </c>
      <c r="H24" s="853">
        <f t="shared" ref="H24:H25" si="7">SUM(B24:G24)</f>
        <v>902402018.0215857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35" t="s">
        <v>684</v>
      </c>
      <c r="B25" s="852">
        <v>0</v>
      </c>
      <c r="C25" s="518">
        <f>+'E-Inv AF y Am'!$D$56+('F-Cred'!$J$17/3)</f>
        <v>3015482.0313599012</v>
      </c>
      <c r="D25" s="518">
        <f>+'E-Inv AF y Am'!$D$56+('F-Cred'!$J$17/3)</f>
        <v>3015482.0313599012</v>
      </c>
      <c r="E25" s="518">
        <f>+'E-Inv AF y Am'!$D$56+('F-Cred'!$J$17/3)</f>
        <v>3015482.0313599012</v>
      </c>
      <c r="F25" s="518">
        <f>+'E-Inv AF y Am'!E56</f>
        <v>2232315.7604638594</v>
      </c>
      <c r="G25" s="518">
        <f>+'E-Inv AF y Am'!E56</f>
        <v>2232315.7604638594</v>
      </c>
      <c r="H25" s="853">
        <f t="shared" si="7"/>
        <v>13511077.615007423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35"/>
      <c r="B26" s="518"/>
      <c r="C26" s="518"/>
      <c r="D26" s="518"/>
      <c r="E26" s="518"/>
      <c r="F26" s="518"/>
      <c r="G26" s="854"/>
      <c r="H26" s="853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35" t="s">
        <v>686</v>
      </c>
      <c r="B27" s="518">
        <f t="shared" ref="B27:G27" si="8">B24+B25</f>
        <v>0</v>
      </c>
      <c r="C27" s="518">
        <f t="shared" si="8"/>
        <v>88562232.759894773</v>
      </c>
      <c r="D27" s="518">
        <f t="shared" si="8"/>
        <v>130968167.84921722</v>
      </c>
      <c r="E27" s="518">
        <f t="shared" si="8"/>
        <v>181620493.73482722</v>
      </c>
      <c r="F27" s="518">
        <f t="shared" si="8"/>
        <v>232059941.09209427</v>
      </c>
      <c r="G27" s="518">
        <f t="shared" si="8"/>
        <v>282702260.20055962</v>
      </c>
      <c r="H27" s="853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97" t="s">
        <v>689</v>
      </c>
      <c r="B28" s="88">
        <f>B27</f>
        <v>0</v>
      </c>
      <c r="C28" s="88">
        <f t="shared" ref="C28:G28" si="9">C27-C6</f>
        <v>88562232.759894773</v>
      </c>
      <c r="D28" s="88">
        <f t="shared" si="9"/>
        <v>42405935.089322448</v>
      </c>
      <c r="E28" s="88">
        <f t="shared" si="9"/>
        <v>50652325.885609999</v>
      </c>
      <c r="F28" s="88">
        <f t="shared" si="9"/>
        <v>50439447.357267052</v>
      </c>
      <c r="G28" s="88">
        <f t="shared" si="9"/>
        <v>50642319.108465344</v>
      </c>
      <c r="H28" s="853">
        <f>SUM(B28:G28)</f>
        <v>282702260.20055962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40"/>
      <c r="B31" s="622">
        <f>+B15-'E-Form'!C4</f>
        <v>0</v>
      </c>
      <c r="C31" s="622">
        <f>+C15-'E-Form'!C5</f>
        <v>5475416.80052834</v>
      </c>
      <c r="D31" s="622">
        <f>+D15-'E-Form'!C6</f>
        <v>-741537.72278682142</v>
      </c>
      <c r="E31" s="622">
        <f>+E15-'E-Form'!C7</f>
        <v>-161360.14364401903</v>
      </c>
      <c r="F31" s="622">
        <f>+F15-'E-Form'!C8</f>
        <v>-43984.351194924602</v>
      </c>
      <c r="G31" s="622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0"/>
  <sheetViews>
    <sheetView workbookViewId="0">
      <selection activeCell="D35" sqref="D35"/>
    </sheetView>
  </sheetViews>
  <sheetFormatPr baseColWidth="10" defaultColWidth="14.42578125" defaultRowHeight="15" customHeight="1"/>
  <cols>
    <col min="1" max="1" width="37.5703125" customWidth="1"/>
    <col min="2" max="3" width="14.7109375" customWidth="1"/>
    <col min="4" max="4" width="37" bestFit="1" customWidth="1"/>
    <col min="5" max="7" width="16" bestFit="1" customWidth="1"/>
    <col min="8" max="11" width="10" customWidth="1"/>
    <col min="12" max="12" width="12" customWidth="1"/>
    <col min="13" max="26" width="10" customWidth="1"/>
  </cols>
  <sheetData>
    <row r="1" spans="1:26" ht="12.75" customHeight="1">
      <c r="A1" s="2" t="s">
        <v>0</v>
      </c>
      <c r="E1" s="3">
        <f>InfoInicial!E1</f>
        <v>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690" t="s">
        <v>667</v>
      </c>
      <c r="B3" s="647"/>
      <c r="C3" s="647"/>
      <c r="D3" s="647"/>
      <c r="E3" s="647"/>
      <c r="F3" s="647"/>
      <c r="G3" s="648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 customHeight="1">
      <c r="A4" s="58"/>
      <c r="B4" s="844" t="s">
        <v>71</v>
      </c>
      <c r="C4" s="844" t="s">
        <v>72</v>
      </c>
      <c r="D4" s="844" t="s">
        <v>360</v>
      </c>
      <c r="E4" s="844" t="s">
        <v>361</v>
      </c>
      <c r="F4" s="844" t="s">
        <v>362</v>
      </c>
      <c r="G4" s="845" t="s">
        <v>363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99" t="s">
        <v>668</v>
      </c>
      <c r="B5" s="846">
        <f t="shared" ref="B5:G5" si="0">+SUM(B7:B11)</f>
        <v>58892907.21481429</v>
      </c>
      <c r="C5" s="846">
        <f t="shared" si="0"/>
        <v>161883838.82158178</v>
      </c>
      <c r="D5" s="846">
        <f t="shared" si="0"/>
        <v>212371654.20263156</v>
      </c>
      <c r="E5" s="846">
        <f t="shared" si="0"/>
        <v>263024011.81071824</v>
      </c>
      <c r="F5" s="846">
        <f t="shared" si="0"/>
        <v>313470676.53138781</v>
      </c>
      <c r="G5" s="846">
        <f t="shared" si="0"/>
        <v>364112990.89521545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48" t="s">
        <v>670</v>
      </c>
      <c r="B6" s="514"/>
      <c r="C6" s="514"/>
      <c r="D6" s="514"/>
      <c r="E6" s="514"/>
      <c r="F6" s="514"/>
      <c r="G6" s="517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50" t="s">
        <v>671</v>
      </c>
      <c r="B7" s="834">
        <f>'E-InvAT'!B6</f>
        <v>5350800</v>
      </c>
      <c r="C7" s="834">
        <f>'E-InvAT'!C6</f>
        <v>6688500</v>
      </c>
      <c r="D7" s="834">
        <f>'E-InvAT'!D6</f>
        <v>7890750</v>
      </c>
      <c r="E7" s="834">
        <f>'E-InvAT'!E6</f>
        <v>7890750</v>
      </c>
      <c r="F7" s="834">
        <f>'E-InvAT'!F6</f>
        <v>7890750</v>
      </c>
      <c r="G7" s="834">
        <f>'E-InvAT'!G6</f>
        <v>7890750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50" t="s">
        <v>673</v>
      </c>
      <c r="B8" s="514">
        <f>'F- CFyU'!B27</f>
        <v>0</v>
      </c>
      <c r="C8" s="514">
        <f>'F- CFyU'!C27</f>
        <v>88562232.759894773</v>
      </c>
      <c r="D8" s="514">
        <f>'F- CFyU'!D27</f>
        <v>130968167.84921722</v>
      </c>
      <c r="E8" s="514">
        <f>'F- CFyU'!E27</f>
        <v>181620493.73482722</v>
      </c>
      <c r="F8" s="514">
        <f>'F- CFyU'!F27</f>
        <v>232059941.09209427</v>
      </c>
      <c r="G8" s="514">
        <f>'F- CFyU'!G27</f>
        <v>282702260.20055962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48" t="s">
        <v>675</v>
      </c>
      <c r="B9" s="834">
        <f>'E-InvAT'!B7</f>
        <v>0</v>
      </c>
      <c r="C9" s="834">
        <f>'E-InvAT'!C7</f>
        <v>27868750</v>
      </c>
      <c r="D9" s="834">
        <f>'E-InvAT'!D7</f>
        <v>32878125</v>
      </c>
      <c r="E9" s="834">
        <f>'E-InvAT'!E7</f>
        <v>32878125</v>
      </c>
      <c r="F9" s="834">
        <f>'E-InvAT'!F7</f>
        <v>32878125</v>
      </c>
      <c r="G9" s="834">
        <f>'E-InvAT'!G7</f>
        <v>32878125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.75" customHeight="1">
      <c r="A10" s="48" t="s">
        <v>681</v>
      </c>
      <c r="B10" s="514">
        <f>'E-InvAT'!B9</f>
        <v>40550104.701132953</v>
      </c>
      <c r="C10" s="514">
        <f>'E-InvAT'!C9</f>
        <v>38764356.061687022</v>
      </c>
      <c r="D10" s="514">
        <f>'E-InvAT'!D9</f>
        <v>40634611.353414327</v>
      </c>
      <c r="E10" s="514">
        <f>'E-InvAT'!E9</f>
        <v>40634643.075891025</v>
      </c>
      <c r="F10" s="514">
        <f>'E-InvAT'!F9</f>
        <v>40641860.439293526</v>
      </c>
      <c r="G10" s="514">
        <f>'E-InvAT'!G9</f>
        <v>40641855.694655858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48" t="s">
        <v>683</v>
      </c>
      <c r="B11" s="834">
        <f>'F-IVA'!C19</f>
        <v>12992002.513681334</v>
      </c>
      <c r="C11" s="834">
        <f>'F-IVA'!D19-'F-IVA'!D17</f>
        <v>0</v>
      </c>
      <c r="D11" s="834">
        <f>'F-IVA'!E19-'F-IVA'!E17</f>
        <v>0</v>
      </c>
      <c r="E11" s="834">
        <f>'F-IVA'!F19-'F-IVA'!F17</f>
        <v>0</v>
      </c>
      <c r="F11" s="834">
        <f>'F-IVA'!G19-'F-IVA'!G17</f>
        <v>0</v>
      </c>
      <c r="G11" s="834">
        <f>'F-IVA'!H19-'F-IVA'!H17</f>
        <v>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48" t="s">
        <v>685</v>
      </c>
      <c r="B12" s="610">
        <f t="shared" ref="B12:G12" si="1">+B17+B22+B23</f>
        <v>18192214.830807716</v>
      </c>
      <c r="C12" s="610">
        <f t="shared" si="1"/>
        <v>20086840.543530855</v>
      </c>
      <c r="D12" s="610">
        <f t="shared" si="1"/>
        <v>17071358.512170956</v>
      </c>
      <c r="E12" s="610">
        <f t="shared" si="1"/>
        <v>14055876.480811052</v>
      </c>
      <c r="F12" s="610">
        <f t="shared" si="1"/>
        <v>11823560.720347192</v>
      </c>
      <c r="G12" s="610">
        <f t="shared" si="1"/>
        <v>9591244.9598833323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48" t="s">
        <v>687</v>
      </c>
      <c r="B13" s="834"/>
      <c r="C13" s="834"/>
      <c r="D13" s="834"/>
      <c r="E13" s="834"/>
      <c r="F13" s="834"/>
      <c r="G13" s="828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50" t="s">
        <v>688</v>
      </c>
      <c r="B14" s="514">
        <f>'F-2 Estructura'!B7</f>
        <v>1614180.5535773204</v>
      </c>
      <c r="C14" s="514">
        <f t="shared" ref="C14:G14" si="2">B17</f>
        <v>1614180.5535773204</v>
      </c>
      <c r="D14" s="514">
        <f t="shared" si="2"/>
        <v>4634557.8866358548</v>
      </c>
      <c r="E14" s="514">
        <f t="shared" si="2"/>
        <v>3287071.6177384537</v>
      </c>
      <c r="F14" s="514">
        <f t="shared" si="2"/>
        <v>1939585.3488410525</v>
      </c>
      <c r="G14" s="514">
        <f t="shared" si="2"/>
        <v>969792.67442052637</v>
      </c>
      <c r="H14" s="40"/>
      <c r="I14" s="40"/>
      <c r="J14" s="40"/>
      <c r="K14" s="40"/>
      <c r="L14" s="35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50" t="s">
        <v>690</v>
      </c>
      <c r="B15" s="834"/>
      <c r="C15" s="834">
        <f>'F-2 Estructura'!C7</f>
        <v>4367863.6019559354</v>
      </c>
      <c r="D15" s="834"/>
      <c r="E15" s="834"/>
      <c r="F15" s="834"/>
      <c r="G15" s="828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50" t="s">
        <v>691</v>
      </c>
      <c r="B16" s="514"/>
      <c r="C16" s="514">
        <f>+'E-Inv AF y Am'!D53+SUM('F-Cred'!G17:I17)/3</f>
        <v>1347486.2688974012</v>
      </c>
      <c r="D16" s="514">
        <f>C16</f>
        <v>1347486.2688974012</v>
      </c>
      <c r="E16" s="514">
        <f>C16</f>
        <v>1347486.2688974012</v>
      </c>
      <c r="F16" s="855">
        <f>'E-Inv AF y Am'!E53</f>
        <v>969792.67442052613</v>
      </c>
      <c r="G16" s="855">
        <f>'E-Inv AF y Am'!E53</f>
        <v>969792.67442052613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50" t="s">
        <v>692</v>
      </c>
      <c r="B17" s="514">
        <f t="shared" ref="B17:G17" si="3">B14+B15-B16</f>
        <v>1614180.5535773204</v>
      </c>
      <c r="C17" s="514">
        <f t="shared" si="3"/>
        <v>4634557.8866358548</v>
      </c>
      <c r="D17" s="514">
        <f t="shared" si="3"/>
        <v>3287071.6177384537</v>
      </c>
      <c r="E17" s="514">
        <f t="shared" si="3"/>
        <v>1939585.3488410525</v>
      </c>
      <c r="F17" s="514">
        <f t="shared" si="3"/>
        <v>969792.67442052637</v>
      </c>
      <c r="G17" s="514">
        <f t="shared" si="3"/>
        <v>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48" t="s">
        <v>1</v>
      </c>
      <c r="B18" s="834"/>
      <c r="C18" s="834"/>
      <c r="D18" s="834"/>
      <c r="E18" s="834"/>
      <c r="F18" s="834"/>
      <c r="G18" s="828"/>
      <c r="H18" s="40"/>
      <c r="I18" s="40"/>
      <c r="J18" s="40"/>
      <c r="K18" s="40"/>
      <c r="L18" s="856">
        <f>B39/2</f>
        <v>0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50" t="s">
        <v>688</v>
      </c>
      <c r="B19" s="514">
        <f>'F-2 Estructura'!B6</f>
        <v>17120278.419357501</v>
      </c>
      <c r="C19" s="514">
        <f t="shared" ref="C19:G19" si="4">B22</f>
        <v>17120278.419357501</v>
      </c>
      <c r="D19" s="514">
        <f t="shared" si="4"/>
        <v>15452282.656895</v>
      </c>
      <c r="E19" s="514">
        <f t="shared" si="4"/>
        <v>13784286.8944325</v>
      </c>
      <c r="F19" s="514">
        <f t="shared" si="4"/>
        <v>12116291.13197</v>
      </c>
      <c r="G19" s="514">
        <f t="shared" si="4"/>
        <v>10853768.045926666</v>
      </c>
      <c r="H19" s="40"/>
      <c r="I19" s="40"/>
      <c r="J19" s="40"/>
      <c r="K19" s="40"/>
      <c r="L19" s="856">
        <f>E39*2</f>
        <v>0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50" t="s">
        <v>693</v>
      </c>
      <c r="B20" s="829">
        <v>0</v>
      </c>
      <c r="C20" s="829">
        <v>0</v>
      </c>
      <c r="D20" s="829">
        <v>0</v>
      </c>
      <c r="E20" s="829">
        <v>0</v>
      </c>
      <c r="F20" s="829">
        <v>0</v>
      </c>
      <c r="G20" s="857">
        <v>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50" t="s">
        <v>694</v>
      </c>
      <c r="B21" s="514"/>
      <c r="C21" s="514">
        <f>'E-Inv AF y Am'!D51</f>
        <v>1667995.7624625002</v>
      </c>
      <c r="D21" s="514">
        <f t="shared" ref="D21:E21" si="5">$C$21</f>
        <v>1667995.7624625002</v>
      </c>
      <c r="E21" s="514">
        <f t="shared" si="5"/>
        <v>1667995.7624625002</v>
      </c>
      <c r="F21" s="514">
        <f>'E-Inv AF y Am'!E51</f>
        <v>1262523.0860433334</v>
      </c>
      <c r="G21" s="517">
        <f>F21</f>
        <v>1262523.0860433334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50" t="s">
        <v>692</v>
      </c>
      <c r="B22" s="825">
        <f t="shared" ref="B22:G22" si="6">B19+B20-B21</f>
        <v>17120278.419357501</v>
      </c>
      <c r="C22" s="825">
        <f t="shared" si="6"/>
        <v>15452282.656895</v>
      </c>
      <c r="D22" s="825">
        <f t="shared" si="6"/>
        <v>13784286.8944325</v>
      </c>
      <c r="E22" s="825">
        <f t="shared" si="6"/>
        <v>12116291.13197</v>
      </c>
      <c r="F22" s="825">
        <f t="shared" si="6"/>
        <v>10853768.045926666</v>
      </c>
      <c r="G22" s="825">
        <f t="shared" si="6"/>
        <v>9591244.9598833323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48" t="s">
        <v>695</v>
      </c>
      <c r="B23" s="825">
        <f>'F-IVA'!C16-'F-IVA'!C19</f>
        <v>-542244.14212710224</v>
      </c>
      <c r="C23" s="825">
        <f>'F-IVA'!D16-'F-IVA'!D19+'F-IVA'!D17</f>
        <v>0</v>
      </c>
      <c r="D23" s="825">
        <f>'F-IVA'!E16-'F-IVA'!E19+'F-IVA'!E17</f>
        <v>0</v>
      </c>
      <c r="E23" s="825">
        <f>'F-IVA'!F16-'F-IVA'!F19+'F-IVA'!F17</f>
        <v>0</v>
      </c>
      <c r="F23" s="825">
        <f>'F-IVA'!G16-'F-IVA'!G19+'F-IVA'!G17</f>
        <v>0</v>
      </c>
      <c r="G23" s="825">
        <f>'F-IVA'!H16-'F-IVA'!H19+'F-IVA'!H17</f>
        <v>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48" t="s">
        <v>696</v>
      </c>
      <c r="B24" s="825">
        <f t="shared" ref="B24:G24" si="7">+B5+B12</f>
        <v>77085122.045622006</v>
      </c>
      <c r="C24" s="825">
        <f t="shared" si="7"/>
        <v>181970679.36511263</v>
      </c>
      <c r="D24" s="884">
        <f t="shared" si="7"/>
        <v>229443012.7148025</v>
      </c>
      <c r="E24" s="825">
        <f t="shared" si="7"/>
        <v>277079888.2915293</v>
      </c>
      <c r="F24" s="825">
        <f t="shared" si="7"/>
        <v>325294237.25173497</v>
      </c>
      <c r="G24" s="825">
        <f t="shared" si="7"/>
        <v>373704235.85509878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48" t="s">
        <v>698</v>
      </c>
      <c r="B25" s="825">
        <f t="shared" ref="B25:G25" si="8">SUM(B26:B27)</f>
        <v>1794979.4589000002</v>
      </c>
      <c r="C25" s="825">
        <f t="shared" si="8"/>
        <v>14128129.920978248</v>
      </c>
      <c r="D25" s="825">
        <f t="shared" si="8"/>
        <v>14128129.920978248</v>
      </c>
      <c r="E25" s="825">
        <f t="shared" si="8"/>
        <v>14128129.920978248</v>
      </c>
      <c r="F25" s="825">
        <f t="shared" si="8"/>
        <v>14128129.920978248</v>
      </c>
      <c r="G25" s="825">
        <f t="shared" si="8"/>
        <v>12333150.462078247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48" t="s">
        <v>699</v>
      </c>
      <c r="B26" s="610"/>
      <c r="C26" s="610">
        <f>'Apertura Financiera'!$B$54</f>
        <v>12333150.462078247</v>
      </c>
      <c r="D26" s="610">
        <f>'Apertura Financiera'!$B$54</f>
        <v>12333150.462078247</v>
      </c>
      <c r="E26" s="610">
        <f>'Apertura Financiera'!$B$54</f>
        <v>12333150.462078247</v>
      </c>
      <c r="F26" s="610">
        <f>'Apertura Financiera'!$B$54</f>
        <v>12333150.462078247</v>
      </c>
      <c r="G26" s="610">
        <f>'Apertura Financiera'!$B$54</f>
        <v>12333150.462078247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48" t="s">
        <v>703</v>
      </c>
      <c r="B27" s="610">
        <f>'F-Cred'!E19</f>
        <v>1794979.4589000002</v>
      </c>
      <c r="C27" s="610">
        <f>'F-Cred'!$E21</f>
        <v>1794979.4589000002</v>
      </c>
      <c r="D27" s="610">
        <f>'F-Cred'!$E23</f>
        <v>1794979.4589000002</v>
      </c>
      <c r="E27" s="610">
        <f>'F-Cred'!$E25</f>
        <v>1794979.4589000002</v>
      </c>
      <c r="F27" s="610">
        <f>'F-Cred'!$E27</f>
        <v>1794979.4589000002</v>
      </c>
      <c r="G27" s="61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48" t="s">
        <v>704</v>
      </c>
      <c r="B28" s="610">
        <f t="shared" ref="B28:G28" si="9">B29</f>
        <v>7179917.8356000008</v>
      </c>
      <c r="C28" s="610">
        <f t="shared" si="9"/>
        <v>5384938.3767000008</v>
      </c>
      <c r="D28" s="610">
        <f t="shared" si="9"/>
        <v>3589958.9178000009</v>
      </c>
      <c r="E28" s="610">
        <f t="shared" si="9"/>
        <v>1794979.4589000007</v>
      </c>
      <c r="F28" s="610">
        <f t="shared" si="9"/>
        <v>0</v>
      </c>
      <c r="G28" s="610">
        <f t="shared" si="9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48" t="s">
        <v>703</v>
      </c>
      <c r="B29" s="610">
        <f>'F-Cred'!E29-'F-Cred'!E19</f>
        <v>7179917.8356000008</v>
      </c>
      <c r="C29" s="610">
        <f>+B29-B27</f>
        <v>5384938.3767000008</v>
      </c>
      <c r="D29" s="867">
        <f>+C29-C27</f>
        <v>3589958.9178000009</v>
      </c>
      <c r="E29" s="867">
        <f>+D29-D27</f>
        <v>1794979.4589000007</v>
      </c>
      <c r="F29" s="867">
        <f>+E29-E27</f>
        <v>0</v>
      </c>
      <c r="G29" s="610">
        <f>'F-Cred'!E29-'F-Cred'!E19-'F-Cred'!E21-'F-Cred'!E23-'F-Cred'!E25-'F-Cred'!E27</f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48" t="s">
        <v>705</v>
      </c>
      <c r="B30" s="610">
        <f t="shared" ref="B30:G30" si="10">+B25+B28</f>
        <v>8974897.2945000008</v>
      </c>
      <c r="C30" s="610">
        <f t="shared" si="10"/>
        <v>19513068.297678247</v>
      </c>
      <c r="D30" s="610">
        <f t="shared" si="10"/>
        <v>17718088.83877825</v>
      </c>
      <c r="E30" s="610">
        <f t="shared" si="10"/>
        <v>15923109.379878249</v>
      </c>
      <c r="F30" s="610">
        <f t="shared" si="10"/>
        <v>14128129.920978248</v>
      </c>
      <c r="G30" s="610">
        <f t="shared" si="10"/>
        <v>12333150.462078247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48" t="s">
        <v>706</v>
      </c>
      <c r="B31" s="610">
        <f t="shared" ref="B31:G31" si="11">+SUM(B32:B34)</f>
        <v>68110224.751121998</v>
      </c>
      <c r="C31" s="610">
        <f t="shared" si="11"/>
        <v>162457611.0674344</v>
      </c>
      <c r="D31" s="610">
        <f t="shared" si="11"/>
        <v>211724923.87602422</v>
      </c>
      <c r="E31" s="610">
        <f t="shared" si="11"/>
        <v>261156778.91165096</v>
      </c>
      <c r="F31" s="610">
        <f t="shared" si="11"/>
        <v>311166107.33075666</v>
      </c>
      <c r="G31" s="610">
        <f t="shared" si="11"/>
        <v>361371085.39302045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48" t="s">
        <v>707</v>
      </c>
      <c r="B32" s="610">
        <f>+'F-2 Estructura'!$B$31</f>
        <v>68110224.751121998</v>
      </c>
      <c r="C32" s="610">
        <f>+'F-2 Estructura'!$B$31+'F-2 Estructura'!$C$31</f>
        <v>123260619.52349651</v>
      </c>
      <c r="D32" s="610">
        <f>+C32</f>
        <v>123260619.52349651</v>
      </c>
      <c r="E32" s="610">
        <f>+C32</f>
        <v>123260619.52349651</v>
      </c>
      <c r="F32" s="610">
        <f>+C32</f>
        <v>123260619.52349651</v>
      </c>
      <c r="G32" s="866">
        <f>+C32</f>
        <v>123260619.52349651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48" t="s">
        <v>708</v>
      </c>
      <c r="B33" s="867">
        <v>0</v>
      </c>
      <c r="C33" s="610">
        <f>+'F-CRes'!B14</f>
        <v>39196991.543937899</v>
      </c>
      <c r="D33" s="610">
        <f>+'F-CRes'!C14</f>
        <v>49267312.808589831</v>
      </c>
      <c r="E33" s="610">
        <f>+'F-CRes'!D14</f>
        <v>49431855.035626717</v>
      </c>
      <c r="F33" s="610">
        <f>+'F-CRes'!E14</f>
        <v>50009328.419105701</v>
      </c>
      <c r="G33" s="610">
        <f>+'F-CRes'!F14</f>
        <v>50204978.062263794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48" t="s">
        <v>711</v>
      </c>
      <c r="B34" s="867">
        <v>0</v>
      </c>
      <c r="C34" s="867">
        <v>0</v>
      </c>
      <c r="D34" s="610">
        <f t="shared" ref="D34:G34" si="12">+C33+C34</f>
        <v>39196991.543937899</v>
      </c>
      <c r="E34" s="610">
        <f t="shared" si="12"/>
        <v>88464304.352527738</v>
      </c>
      <c r="F34" s="610">
        <f t="shared" si="12"/>
        <v>137896159.38815445</v>
      </c>
      <c r="G34" s="610">
        <f t="shared" si="12"/>
        <v>187905487.80726016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97" t="s">
        <v>712</v>
      </c>
      <c r="B35" s="869">
        <f t="shared" ref="B35:G35" si="13">+B30+B31</f>
        <v>77085122.045621991</v>
      </c>
      <c r="C35" s="869">
        <f t="shared" si="13"/>
        <v>181970679.36511266</v>
      </c>
      <c r="D35" s="885">
        <f t="shared" si="13"/>
        <v>229443012.71480247</v>
      </c>
      <c r="E35" s="869">
        <f t="shared" si="13"/>
        <v>277079888.29152918</v>
      </c>
      <c r="F35" s="869">
        <f t="shared" si="13"/>
        <v>325294237.25173491</v>
      </c>
      <c r="G35" s="869">
        <f t="shared" si="13"/>
        <v>373704235.85509872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871" t="s">
        <v>714</v>
      </c>
      <c r="B38" s="590" t="str">
        <f t="shared" ref="B38:G38" si="14">IF(B24=B35,"OK","MAL")</f>
        <v>OK</v>
      </c>
      <c r="C38" s="590" t="str">
        <f t="shared" si="14"/>
        <v>OK</v>
      </c>
      <c r="D38" s="590" t="str">
        <f t="shared" si="14"/>
        <v>MAL</v>
      </c>
      <c r="E38" s="590" t="str">
        <f t="shared" si="14"/>
        <v>OK</v>
      </c>
      <c r="F38" s="590" t="str">
        <f t="shared" si="14"/>
        <v>OK</v>
      </c>
      <c r="G38" s="590" t="str">
        <f t="shared" si="14"/>
        <v>OK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40"/>
      <c r="B39" s="881">
        <f t="shared" ref="B39:G39" si="15">B24-B35</f>
        <v>0</v>
      </c>
      <c r="C39" s="881">
        <f t="shared" si="15"/>
        <v>0</v>
      </c>
      <c r="D39" s="882">
        <f t="shared" si="15"/>
        <v>0</v>
      </c>
      <c r="E39" s="881">
        <f t="shared" si="15"/>
        <v>0</v>
      </c>
      <c r="F39" s="881">
        <f t="shared" si="15"/>
        <v>0</v>
      </c>
      <c r="G39" s="881">
        <f t="shared" si="15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40"/>
      <c r="B41" s="40"/>
      <c r="C41" s="40"/>
      <c r="D41" s="883">
        <f>+D35-D24</f>
        <v>0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40"/>
      <c r="B42" s="40"/>
      <c r="C42" s="40"/>
      <c r="D42" s="883">
        <f>+D24-D35</f>
        <v>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conditionalFormatting sqref="B38">
    <cfRule type="cellIs" dxfId="31" priority="1" operator="equal">
      <formula>"OK"</formula>
    </cfRule>
  </conditionalFormatting>
  <conditionalFormatting sqref="B38">
    <cfRule type="cellIs" dxfId="30" priority="2" operator="equal">
      <formula>"MAL"</formula>
    </cfRule>
  </conditionalFormatting>
  <conditionalFormatting sqref="C38">
    <cfRule type="cellIs" dxfId="29" priority="3" operator="equal">
      <formula>"OK"</formula>
    </cfRule>
  </conditionalFormatting>
  <conditionalFormatting sqref="C38">
    <cfRule type="cellIs" dxfId="28" priority="4" operator="equal">
      <formula>"MAL"</formula>
    </cfRule>
  </conditionalFormatting>
  <conditionalFormatting sqref="D38">
    <cfRule type="cellIs" dxfId="27" priority="5" operator="equal">
      <formula>"OK"</formula>
    </cfRule>
  </conditionalFormatting>
  <conditionalFormatting sqref="D38">
    <cfRule type="cellIs" dxfId="26" priority="6" operator="equal">
      <formula>"MAL"</formula>
    </cfRule>
  </conditionalFormatting>
  <conditionalFormatting sqref="E38">
    <cfRule type="cellIs" dxfId="25" priority="7" operator="equal">
      <formula>"OK"</formula>
    </cfRule>
  </conditionalFormatting>
  <conditionalFormatting sqref="E38">
    <cfRule type="cellIs" dxfId="24" priority="8" operator="equal">
      <formula>"MAL"</formula>
    </cfRule>
  </conditionalFormatting>
  <conditionalFormatting sqref="F38">
    <cfRule type="cellIs" dxfId="23" priority="9" operator="equal">
      <formula>"OK"</formula>
    </cfRule>
  </conditionalFormatting>
  <conditionalFormatting sqref="F38">
    <cfRule type="cellIs" dxfId="22" priority="10" operator="equal">
      <formula>"MAL"</formula>
    </cfRule>
  </conditionalFormatting>
  <conditionalFormatting sqref="G38">
    <cfRule type="cellIs" dxfId="21" priority="11" operator="equal">
      <formula>"OK"</formula>
    </cfRule>
  </conditionalFormatting>
  <conditionalFormatting sqref="G38">
    <cfRule type="cellIs" dxfId="20" priority="12" operator="equal">
      <formula>"MAL"</formula>
    </cfRule>
  </conditionalFormatting>
  <pageMargins left="0.7" right="0.7" top="0.75" bottom="0.75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tabSelected="1" zoomScale="90" zoomScaleNormal="90" workbookViewId="0">
      <selection activeCell="I26" sqref="I26"/>
    </sheetView>
  </sheetViews>
  <sheetFormatPr baseColWidth="10" defaultColWidth="14.42578125" defaultRowHeight="15" customHeight="1"/>
  <cols>
    <col min="1" max="1" width="7.85546875" customWidth="1"/>
    <col min="2" max="2" width="20.140625" customWidth="1"/>
    <col min="3" max="4" width="18.42578125" customWidth="1"/>
    <col min="5" max="5" width="22.42578125" bestFit="1" customWidth="1"/>
    <col min="6" max="6" width="17.140625" bestFit="1" customWidth="1"/>
    <col min="7" max="7" width="20" customWidth="1"/>
    <col min="8" max="8" width="17.140625" bestFit="1" customWidth="1"/>
    <col min="9" max="9" width="14.7109375" customWidth="1"/>
    <col min="10" max="10" width="17.42578125" customWidth="1"/>
    <col min="11" max="11" width="16" bestFit="1" customWidth="1"/>
    <col min="12" max="12" width="17.140625" bestFit="1" customWidth="1"/>
    <col min="13" max="13" width="18.42578125" customWidth="1"/>
    <col min="14" max="14" width="17.42578125" customWidth="1"/>
    <col min="15" max="15" width="17.28515625" customWidth="1"/>
    <col min="16" max="26" width="10" customWidth="1"/>
  </cols>
  <sheetData>
    <row r="1" spans="1:26" ht="12.75" customHeight="1">
      <c r="A1" s="2" t="s">
        <v>0</v>
      </c>
      <c r="E1" s="40"/>
      <c r="F1" s="40"/>
      <c r="G1" s="3">
        <f>InfoInicial!E1</f>
        <v>4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519" t="s">
        <v>676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5.5" customHeight="1">
      <c r="A4" s="523" t="s">
        <v>432</v>
      </c>
      <c r="B4" s="524" t="s">
        <v>663</v>
      </c>
      <c r="C4" s="524" t="s">
        <v>677</v>
      </c>
      <c r="D4" s="524" t="s">
        <v>435</v>
      </c>
      <c r="E4" s="524" t="s">
        <v>10</v>
      </c>
      <c r="F4" s="524" t="s">
        <v>436</v>
      </c>
      <c r="G4" s="524" t="s">
        <v>437</v>
      </c>
      <c r="H4" s="524" t="s">
        <v>678</v>
      </c>
      <c r="I4" s="524" t="s">
        <v>679</v>
      </c>
      <c r="J4" s="524" t="s">
        <v>439</v>
      </c>
      <c r="K4" s="524" t="s">
        <v>440</v>
      </c>
      <c r="L4" s="524" t="s">
        <v>441</v>
      </c>
      <c r="M4" s="566" t="s">
        <v>442</v>
      </c>
      <c r="N4" s="567" t="s">
        <v>443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568">
        <v>0</v>
      </c>
      <c r="B5" s="526">
        <f>'E-Cal Inv.'!B8+'E-Cal Inv.'!C8+'F-Cred'!J17</f>
        <v>18734458.97293482</v>
      </c>
      <c r="C5" s="887">
        <f>+'F- CFyU'!B15</f>
        <v>45900904.701132953</v>
      </c>
      <c r="D5" s="512">
        <f>'F-IVA'!B$17</f>
        <v>12449758.371554231</v>
      </c>
      <c r="E5" s="512"/>
      <c r="F5" s="512"/>
      <c r="G5" s="512">
        <f t="shared" ref="G5:G10" si="0">SUM(B5:F5)</f>
        <v>77085122.045622006</v>
      </c>
      <c r="H5" s="512"/>
      <c r="I5" s="512">
        <f>'F-Cred'!J17</f>
        <v>1133080.7834306252</v>
      </c>
      <c r="J5" s="512"/>
      <c r="K5" s="512"/>
      <c r="L5" s="512">
        <f t="shared" ref="L5:L10" si="1">SUM(H5:K5)</f>
        <v>1133080.7834306252</v>
      </c>
      <c r="M5" s="557">
        <f t="shared" ref="M5:M10" si="2">L5-G5</f>
        <v>-75952041.262191385</v>
      </c>
      <c r="N5" s="513">
        <f>M5</f>
        <v>-75952041.262191385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573">
        <v>1</v>
      </c>
      <c r="B6" s="526">
        <f>'E-Cal Inv.'!D8</f>
        <v>4367863.6019559354</v>
      </c>
      <c r="C6" s="887">
        <f>+'F- CFyU'!C15</f>
        <v>27420701.360554069</v>
      </c>
      <c r="D6" s="512">
        <f>'F-IVA'!C$17</f>
        <v>542244.14212710282</v>
      </c>
      <c r="E6" s="514">
        <f>'F-CRes'!B12</f>
        <v>1546232.4080448877</v>
      </c>
      <c r="F6" s="514">
        <f>'F-CRes'!B13</f>
        <v>21106072.369812712</v>
      </c>
      <c r="G6" s="514">
        <f t="shared" si="0"/>
        <v>54983113.88249471</v>
      </c>
      <c r="H6" s="514">
        <f>'F-CRes'!B11</f>
        <v>61849296.321795501</v>
      </c>
      <c r="I6" s="514">
        <f>'F-Cred'!G19</f>
        <v>1696108.9223033153</v>
      </c>
      <c r="J6" s="514">
        <f>'F- CFyU'!C25</f>
        <v>3015482.0313599012</v>
      </c>
      <c r="K6" s="514">
        <f>'F-IVA'!C19</f>
        <v>12992002.513681334</v>
      </c>
      <c r="L6" s="512">
        <f t="shared" si="1"/>
        <v>79552889.789140046</v>
      </c>
      <c r="M6" s="557">
        <f t="shared" si="2"/>
        <v>24569775.906645335</v>
      </c>
      <c r="N6" s="517">
        <f t="shared" ref="N6:N10" si="3">M6+N5</f>
        <v>-51382265.35554605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573">
        <v>2</v>
      </c>
      <c r="B7" s="528"/>
      <c r="C7" s="887">
        <f>+'F- CFyU'!D15</f>
        <v>8081880.2917273045</v>
      </c>
      <c r="D7" s="512">
        <f>'F-IVA'!D$17</f>
        <v>392753.61126273288</v>
      </c>
      <c r="E7" s="514">
        <f>'F-CRes'!C12</f>
        <v>1943483.7399838199</v>
      </c>
      <c r="F7" s="514">
        <f>'F-CRes'!C13</f>
        <v>26528553.050779138</v>
      </c>
      <c r="G7" s="514">
        <f t="shared" si="0"/>
        <v>36946670.693752997</v>
      </c>
      <c r="H7" s="514">
        <f>'F-CRes'!C11</f>
        <v>77739349.599352792</v>
      </c>
      <c r="I7" s="514">
        <f>'F-Cred'!G21</f>
        <v>1637625.4235318797</v>
      </c>
      <c r="J7" s="514">
        <f>'F- CFyU'!D25</f>
        <v>3015482.0313599012</v>
      </c>
      <c r="K7" s="514">
        <f>'F-IVA'!D19</f>
        <v>392753.61126273288</v>
      </c>
      <c r="L7" s="512">
        <f t="shared" si="1"/>
        <v>82785210.665507302</v>
      </c>
      <c r="M7" s="557">
        <f t="shared" si="2"/>
        <v>45838539.971754305</v>
      </c>
      <c r="N7" s="517">
        <f t="shared" si="3"/>
        <v>-5543725.3837917447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573">
        <v>3</v>
      </c>
      <c r="B8" s="528"/>
      <c r="C8" s="887">
        <f>+'F- CFyU'!E15</f>
        <v>31.722476691007614</v>
      </c>
      <c r="D8" s="512">
        <f>'F-IVA'!E$17</f>
        <v>6.6617201057961211</v>
      </c>
      <c r="E8" s="514">
        <f>'F-CRes'!D12</f>
        <v>1949974.557618411</v>
      </c>
      <c r="F8" s="514">
        <f>'F-CRes'!D13</f>
        <v>26617152.711491309</v>
      </c>
      <c r="G8" s="514">
        <f t="shared" si="0"/>
        <v>28567165.653306518</v>
      </c>
      <c r="H8" s="514">
        <f>'F-CRes'!D11</f>
        <v>77998982.304736435</v>
      </c>
      <c r="I8" s="514">
        <f>'F-Cred'!G23</f>
        <v>1332478.9155188799</v>
      </c>
      <c r="J8" s="514">
        <f>'F- CFyU'!E25</f>
        <v>3015482.0313599012</v>
      </c>
      <c r="K8" s="514">
        <f>'F-IVA'!E19</f>
        <v>6.6617201057961211</v>
      </c>
      <c r="L8" s="512">
        <f t="shared" si="1"/>
        <v>82346949.913335323</v>
      </c>
      <c r="M8" s="557">
        <f t="shared" si="2"/>
        <v>53779784.260028809</v>
      </c>
      <c r="N8" s="517">
        <f t="shared" si="3"/>
        <v>48236058.876237065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573">
        <v>4</v>
      </c>
      <c r="B9" s="528"/>
      <c r="C9" s="887">
        <f>+'F- CFyU'!F15</f>
        <v>7217.3634025156498</v>
      </c>
      <c r="D9" s="512">
        <f>'F-IVA'!F$17</f>
        <v>1515.6463145261514</v>
      </c>
      <c r="E9" s="514">
        <f>'F-CRes'!E12</f>
        <v>1972754.572745787</v>
      </c>
      <c r="F9" s="514">
        <f>'F-CRes'!E13</f>
        <v>26928099.917979993</v>
      </c>
      <c r="G9" s="514">
        <f t="shared" si="0"/>
        <v>28909587.500442822</v>
      </c>
      <c r="H9" s="514">
        <f>'F-CRes'!E11</f>
        <v>78910182.909831479</v>
      </c>
      <c r="I9" s="514">
        <f>'F-Cred'!G25</f>
        <v>1027332.4075058796</v>
      </c>
      <c r="J9" s="514">
        <f>'F- CFyU'!F25</f>
        <v>2232315.7604638594</v>
      </c>
      <c r="K9" s="514">
        <f>'F-IVA'!F19</f>
        <v>1515.6463145261514</v>
      </c>
      <c r="L9" s="512">
        <f t="shared" si="1"/>
        <v>82171346.724115759</v>
      </c>
      <c r="M9" s="557">
        <f t="shared" si="2"/>
        <v>53261759.223672941</v>
      </c>
      <c r="N9" s="517">
        <f t="shared" si="3"/>
        <v>101497818.09991001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.75" customHeight="1">
      <c r="A10" s="573">
        <v>5</v>
      </c>
      <c r="B10" s="528">
        <f>'E-Inv AF y Am'!F56</f>
        <v>-9591244.9598833341</v>
      </c>
      <c r="C10" s="887">
        <f>+'F- CFyU'!G15-'F- CFyU'!H15</f>
        <v>-81410735.439293534</v>
      </c>
      <c r="D10" s="512">
        <f>'F-IVA'!G$17</f>
        <v>-0.99637391150463372</v>
      </c>
      <c r="E10" s="514">
        <f>'F-CRes'!F12</f>
        <v>1980472.5073871319</v>
      </c>
      <c r="F10" s="514">
        <f>'F-CRes'!F13</f>
        <v>27033449.725834347</v>
      </c>
      <c r="G10" s="514">
        <f t="shared" si="0"/>
        <v>-61988059.162329294</v>
      </c>
      <c r="H10" s="514">
        <f>'F-CRes'!F11</f>
        <v>79218900.295485273</v>
      </c>
      <c r="I10" s="514">
        <f>'F-Cred'!G27</f>
        <v>722185.89949287963</v>
      </c>
      <c r="J10" s="514">
        <f>'F- CFyU'!G25</f>
        <v>2232315.7604638594</v>
      </c>
      <c r="K10" s="514">
        <f>'F-IVA'!G19</f>
        <v>-0.99637391150463372</v>
      </c>
      <c r="L10" s="512">
        <f t="shared" si="1"/>
        <v>82173400.959068105</v>
      </c>
      <c r="M10" s="557">
        <f t="shared" si="2"/>
        <v>144161460.12139741</v>
      </c>
      <c r="N10" s="517">
        <f t="shared" si="3"/>
        <v>245659278.2213074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573"/>
      <c r="B11" s="528"/>
      <c r="C11" s="514"/>
      <c r="D11" s="514"/>
      <c r="E11" s="514"/>
      <c r="F11" s="514"/>
      <c r="G11" s="514"/>
      <c r="H11" s="514"/>
      <c r="I11" s="514"/>
      <c r="J11" s="514"/>
      <c r="K11" s="514"/>
      <c r="L11" s="512"/>
      <c r="M11" s="559"/>
      <c r="N11" s="517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579" t="s">
        <v>450</v>
      </c>
      <c r="B12" s="580">
        <f t="shared" ref="B12:M12" si="4">SUM(B5:B10)</f>
        <v>13511077.615007421</v>
      </c>
      <c r="C12" s="580">
        <f t="shared" si="4"/>
        <v>0</v>
      </c>
      <c r="D12" s="580">
        <f t="shared" si="4"/>
        <v>13386277.436604787</v>
      </c>
      <c r="E12" s="580">
        <f t="shared" si="4"/>
        <v>9392917.7857800368</v>
      </c>
      <c r="F12" s="580">
        <f t="shared" si="4"/>
        <v>128213327.77589747</v>
      </c>
      <c r="G12" s="580">
        <f t="shared" si="4"/>
        <v>164503600.61328977</v>
      </c>
      <c r="H12" s="580">
        <f t="shared" si="4"/>
        <v>375716711.43120146</v>
      </c>
      <c r="I12" s="580">
        <f t="shared" si="4"/>
        <v>7548812.3517834591</v>
      </c>
      <c r="J12" s="580">
        <f t="shared" si="4"/>
        <v>13511077.615007423</v>
      </c>
      <c r="K12" s="580">
        <f t="shared" si="4"/>
        <v>13386277.436604787</v>
      </c>
      <c r="L12" s="580">
        <f t="shared" si="4"/>
        <v>410162878.83459717</v>
      </c>
      <c r="M12" s="580">
        <f t="shared" si="4"/>
        <v>245659278.2213074</v>
      </c>
      <c r="N12" s="58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40"/>
      <c r="B14" s="40"/>
      <c r="C14" s="25" t="s">
        <v>451</v>
      </c>
      <c r="D14" s="858">
        <f>H12+I12-E12-F12</f>
        <v>245659278.22130743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35"/>
      <c r="B15" s="40"/>
      <c r="C15" s="25" t="s">
        <v>452</v>
      </c>
      <c r="D15" s="688">
        <f>3+(-N7/M8)</f>
        <v>3.1030819565394214</v>
      </c>
      <c r="E15" s="40" t="s">
        <v>453</v>
      </c>
      <c r="F15" s="40"/>
      <c r="G15" s="40"/>
      <c r="H15" s="622">
        <f>H12-E12-F12</f>
        <v>238110465.86952397</v>
      </c>
      <c r="I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40"/>
      <c r="B16" s="40"/>
      <c r="C16" s="25" t="s">
        <v>697</v>
      </c>
      <c r="D16" s="859">
        <f>IRR(M5:M10)</f>
        <v>0.5411834620133007</v>
      </c>
      <c r="E16" s="40"/>
      <c r="F16" s="40"/>
      <c r="G16" s="40"/>
      <c r="H16" s="40"/>
      <c r="I16" s="40"/>
      <c r="J16" s="860"/>
      <c r="K16" s="86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40"/>
      <c r="B17" s="40"/>
      <c r="C17" s="25"/>
      <c r="D17" s="859"/>
      <c r="E17" s="40"/>
      <c r="F17" s="40"/>
      <c r="G17" s="40"/>
      <c r="H17" s="40"/>
      <c r="I17" s="40"/>
      <c r="J17" s="861"/>
      <c r="K17" s="622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587"/>
      <c r="B18" s="629"/>
      <c r="C18" s="629"/>
      <c r="D18" s="629"/>
      <c r="E18" s="629"/>
      <c r="F18" s="862"/>
      <c r="G18" s="862"/>
      <c r="H18" s="862"/>
      <c r="I18" s="862"/>
      <c r="J18" s="861"/>
      <c r="K18" s="622"/>
      <c r="L18" s="862"/>
      <c r="M18" s="862"/>
      <c r="N18" s="862"/>
      <c r="O18" s="62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.75" customHeight="1">
      <c r="A19" s="863"/>
      <c r="B19" s="862"/>
      <c r="C19" s="864"/>
      <c r="D19" s="862"/>
      <c r="E19" s="862"/>
      <c r="F19" s="862"/>
      <c r="G19" s="862"/>
      <c r="H19" s="862"/>
      <c r="I19" s="862"/>
      <c r="J19" s="861"/>
      <c r="K19" s="622"/>
      <c r="L19" s="862"/>
      <c r="M19" s="862"/>
      <c r="N19" s="862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40"/>
      <c r="B20" s="40"/>
      <c r="C20" s="40"/>
      <c r="D20" s="40"/>
      <c r="E20" s="40"/>
      <c r="F20" s="40"/>
      <c r="G20" s="40"/>
      <c r="H20" s="40"/>
      <c r="I20" s="40"/>
      <c r="J20" s="861"/>
      <c r="K20" s="622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865"/>
      <c r="B21" s="40"/>
      <c r="C21" s="40"/>
      <c r="D21" s="40"/>
      <c r="E21" s="40"/>
      <c r="F21" s="40"/>
      <c r="G21" s="40"/>
      <c r="H21" s="40"/>
      <c r="I21" s="40"/>
      <c r="J21" s="40"/>
      <c r="K21" s="622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>
      <c r="A22" s="519" t="s">
        <v>700</v>
      </c>
      <c r="B22" s="508"/>
      <c r="C22" s="508"/>
      <c r="D22" s="508"/>
      <c r="E22" s="508"/>
      <c r="F22" s="508"/>
      <c r="G22" s="508"/>
      <c r="H22" s="509"/>
      <c r="I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38.25" customHeight="1">
      <c r="A23" s="523" t="s">
        <v>432</v>
      </c>
      <c r="B23" s="524" t="s">
        <v>701</v>
      </c>
      <c r="C23" s="524" t="s">
        <v>437</v>
      </c>
      <c r="D23" s="524" t="s">
        <v>672</v>
      </c>
      <c r="E23" s="524" t="s">
        <v>702</v>
      </c>
      <c r="F23" s="524" t="s">
        <v>441</v>
      </c>
      <c r="G23" s="566" t="s">
        <v>442</v>
      </c>
      <c r="H23" s="567" t="s">
        <v>443</v>
      </c>
      <c r="I23" s="40"/>
      <c r="J23" s="40"/>
      <c r="K23" s="944" t="s">
        <v>456</v>
      </c>
      <c r="L23" s="902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568">
        <v>0</v>
      </c>
      <c r="B24" s="526">
        <f>'F-2 Estructura'!B31</f>
        <v>68110224.751121998</v>
      </c>
      <c r="C24" s="512">
        <f t="shared" ref="C24:C29" si="5">B24</f>
        <v>68110224.751121998</v>
      </c>
      <c r="D24" s="512">
        <f>'F- CFyU'!B20</f>
        <v>0</v>
      </c>
      <c r="E24" s="512"/>
      <c r="F24" s="512">
        <f t="shared" ref="F24:F29" si="6">D24+E24</f>
        <v>0</v>
      </c>
      <c r="G24" s="557">
        <f t="shared" ref="G24:G29" si="7">F24-C24</f>
        <v>-68110224.751121998</v>
      </c>
      <c r="H24" s="513">
        <f>G24</f>
        <v>-68110224.751121998</v>
      </c>
      <c r="I24" s="40"/>
      <c r="J24" s="40"/>
      <c r="K24" s="953" t="s">
        <v>457</v>
      </c>
      <c r="L24" s="902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573">
        <v>1</v>
      </c>
      <c r="B25" s="528">
        <f>'F-2 Estructura'!C31</f>
        <v>55150394.772374511</v>
      </c>
      <c r="C25" s="512">
        <f t="shared" si="5"/>
        <v>55150394.772374511</v>
      </c>
      <c r="D25" s="514">
        <f>'F- CFyU'!C20</f>
        <v>0</v>
      </c>
      <c r="E25" s="514">
        <f>'F- CFyU'!C28</f>
        <v>88562232.759894773</v>
      </c>
      <c r="F25" s="512">
        <f t="shared" si="6"/>
        <v>88562232.759894773</v>
      </c>
      <c r="G25" s="557">
        <f t="shared" si="7"/>
        <v>33411837.987520263</v>
      </c>
      <c r="H25" s="517">
        <f t="shared" ref="H25:H29" si="8">G25+H24</f>
        <v>-34698386.763601735</v>
      </c>
      <c r="I25" s="40"/>
      <c r="J25" s="40"/>
      <c r="K25" s="589" t="s">
        <v>439</v>
      </c>
      <c r="L25" s="590" t="str">
        <f>IF(B12=J12,"OK","MAL")</f>
        <v>OK</v>
      </c>
      <c r="M25" s="622">
        <f>M30-M31</f>
        <v>0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573">
        <v>2</v>
      </c>
      <c r="B26" s="528"/>
      <c r="C26" s="512">
        <f t="shared" si="5"/>
        <v>0</v>
      </c>
      <c r="D26" s="514">
        <f>'F- CFyU'!D20</f>
        <v>0</v>
      </c>
      <c r="E26" s="514">
        <f>'F- CFyU'!D28</f>
        <v>42405935.089322448</v>
      </c>
      <c r="F26" s="512">
        <f t="shared" si="6"/>
        <v>42405935.089322448</v>
      </c>
      <c r="G26" s="557">
        <f t="shared" si="7"/>
        <v>42405935.089322448</v>
      </c>
      <c r="H26" s="517">
        <f t="shared" si="8"/>
        <v>7707548.3257207125</v>
      </c>
      <c r="I26" s="40"/>
      <c r="K26" s="589" t="s">
        <v>458</v>
      </c>
      <c r="L26" s="590" t="str">
        <f>IF(D12=K12,"OK","MAL")</f>
        <v>OK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573">
        <v>3</v>
      </c>
      <c r="B27" s="528"/>
      <c r="C27" s="512">
        <f t="shared" si="5"/>
        <v>0</v>
      </c>
      <c r="D27" s="514">
        <f>'F- CFyU'!E20</f>
        <v>0</v>
      </c>
      <c r="E27" s="514">
        <f>'F- CFyU'!E28</f>
        <v>50652325.885609999</v>
      </c>
      <c r="F27" s="512">
        <f t="shared" si="6"/>
        <v>50652325.885609999</v>
      </c>
      <c r="G27" s="557">
        <f t="shared" si="7"/>
        <v>50652325.885609999</v>
      </c>
      <c r="H27" s="517">
        <f t="shared" si="8"/>
        <v>58359874.211330712</v>
      </c>
      <c r="I27" s="40"/>
      <c r="K27" s="589" t="s">
        <v>460</v>
      </c>
      <c r="L27" s="590" t="str">
        <f>IF(C12=0,"OK","MAL")</f>
        <v>OK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573">
        <v>4</v>
      </c>
      <c r="B28" s="528"/>
      <c r="C28" s="512">
        <f t="shared" si="5"/>
        <v>0</v>
      </c>
      <c r="D28" s="514">
        <f>'F- CFyU'!F20</f>
        <v>0</v>
      </c>
      <c r="E28" s="514">
        <f>'F- CFyU'!F28</f>
        <v>50439447.357267052</v>
      </c>
      <c r="F28" s="512">
        <f t="shared" si="6"/>
        <v>50439447.357267052</v>
      </c>
      <c r="G28" s="557">
        <f t="shared" si="7"/>
        <v>50439447.357267052</v>
      </c>
      <c r="H28" s="517">
        <f t="shared" si="8"/>
        <v>108799321.56859776</v>
      </c>
      <c r="I28" s="40"/>
      <c r="K28" s="589" t="s">
        <v>462</v>
      </c>
      <c r="L28" s="590" t="str">
        <f>IF((H12-F12-E12+I12)=M12,IF(M12=N10,"OK","MAL"),"MAL")</f>
        <v>OK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573">
        <v>5</v>
      </c>
      <c r="B29" s="888">
        <f>B10+'F-Cred'!D6-'F- CFyU'!H15</f>
        <v>-78668825.192460954</v>
      </c>
      <c r="C29" s="512">
        <f t="shared" si="5"/>
        <v>-78668825.192460954</v>
      </c>
      <c r="D29" s="514">
        <f>'F- CFyU'!G20</f>
        <v>0</v>
      </c>
      <c r="E29" s="514">
        <f>'F- CFyU'!G28</f>
        <v>50642319.108465344</v>
      </c>
      <c r="F29" s="512">
        <f t="shared" si="6"/>
        <v>50642319.108465344</v>
      </c>
      <c r="G29" s="557">
        <f t="shared" si="7"/>
        <v>129311144.3009263</v>
      </c>
      <c r="H29" s="517">
        <f t="shared" si="8"/>
        <v>238110465.86952406</v>
      </c>
      <c r="I29" s="40"/>
      <c r="K29" s="953" t="s">
        <v>709</v>
      </c>
      <c r="L29" s="902"/>
      <c r="M29" s="40"/>
      <c r="N29" s="40"/>
      <c r="O29" s="622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573"/>
      <c r="B30" s="528"/>
      <c r="C30" s="514"/>
      <c r="D30" s="514"/>
      <c r="E30" s="514"/>
      <c r="F30" s="514"/>
      <c r="G30" s="559"/>
      <c r="H30" s="517"/>
      <c r="I30" s="40"/>
      <c r="K30" s="589" t="s">
        <v>710</v>
      </c>
      <c r="L30" s="590" t="str">
        <f>IF((H12-E12-F12)=G31,"OK","MAL")</f>
        <v>OK</v>
      </c>
      <c r="M30" s="622">
        <f>H12-E12-F12</f>
        <v>238110465.86952397</v>
      </c>
      <c r="N30" s="622">
        <f>G31</f>
        <v>238110465.86952406</v>
      </c>
      <c r="O30" s="622">
        <f>M30-N30</f>
        <v>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579" t="s">
        <v>450</v>
      </c>
      <c r="B31" s="868">
        <f t="shared" ref="B31:G31" si="9">SUM(B24:B29)</f>
        <v>44591794.331035554</v>
      </c>
      <c r="C31" s="868">
        <f t="shared" si="9"/>
        <v>44591794.331035554</v>
      </c>
      <c r="D31" s="868">
        <f t="shared" si="9"/>
        <v>0</v>
      </c>
      <c r="E31" s="868">
        <f t="shared" si="9"/>
        <v>282702260.20055962</v>
      </c>
      <c r="F31" s="868">
        <f t="shared" si="9"/>
        <v>282702260.20055962</v>
      </c>
      <c r="G31" s="868">
        <f t="shared" si="9"/>
        <v>238110465.86952406</v>
      </c>
      <c r="H31" s="870"/>
      <c r="I31" s="40"/>
      <c r="J31" s="40"/>
      <c r="K31" s="589" t="s">
        <v>713</v>
      </c>
      <c r="L31" s="590" t="str">
        <f>IF(('F- CFyU'!H28-'F- CFyU'!H7-'F- CFyU'!H8+'F- CFyU'!H14-'F- CFyU'!H25+'F- CFyU'!H15)='F- Form'!G31,"OK","MAL")</f>
        <v>OK</v>
      </c>
      <c r="M31" s="872">
        <f>'F- CFyU'!H28-'F- CFyU'!H7-'F- CFyU'!H8+'F- CFyU'!H14-'F- CFyU'!H25+'F- CFyU'!H15</f>
        <v>238110465.86952406</v>
      </c>
      <c r="N31" s="622">
        <f>G31</f>
        <v>238110465.86952406</v>
      </c>
      <c r="O31" s="622">
        <f t="shared" ref="O31:O34" si="10">M31-N31</f>
        <v>0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589" t="s">
        <v>715</v>
      </c>
      <c r="L32" s="590" t="str">
        <f>IF('F-CRes'!G14=G31,"OK","MAL")</f>
        <v>OK</v>
      </c>
      <c r="M32" s="622">
        <f>'F-CRes'!G14</f>
        <v>238110465.86952394</v>
      </c>
      <c r="N32" s="622">
        <f>G31</f>
        <v>238110465.86952406</v>
      </c>
      <c r="O32" s="622">
        <f t="shared" si="10"/>
        <v>0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589" t="s">
        <v>716</v>
      </c>
      <c r="L33" s="590" t="str">
        <f>IF(('F-Balance'!G33+'F-Balance'!G34)='F- Form'!G31,"OK","MAL")</f>
        <v>OK</v>
      </c>
      <c r="M33" s="856">
        <f>'F-Balance'!G33+'F-Balance'!G34</f>
        <v>238110465.86952394</v>
      </c>
      <c r="N33" s="622">
        <f>G31</f>
        <v>238110465.86952406</v>
      </c>
      <c r="O33" s="622">
        <f t="shared" si="10"/>
        <v>0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40"/>
      <c r="B34" s="40"/>
      <c r="C34" s="25" t="s">
        <v>451</v>
      </c>
      <c r="D34" s="858">
        <f>G31</f>
        <v>238110465.86952406</v>
      </c>
      <c r="E34" s="40" t="s">
        <v>717</v>
      </c>
      <c r="F34" s="40"/>
      <c r="G34" s="40"/>
      <c r="H34" s="40"/>
      <c r="I34" s="40"/>
      <c r="J34" s="40"/>
      <c r="K34" s="589" t="s">
        <v>718</v>
      </c>
      <c r="L34" s="590" t="str">
        <f>IF(('F- CFyU'!H10-'F- CFyU'!H16-'F- CFyU'!H19-'F- CFyU'!H17)=G31,"OK","MAL")</f>
        <v>OK</v>
      </c>
      <c r="M34" s="872">
        <f>'F- CFyU'!H10-'F- CFyU'!H16-'F- CFyU'!H17-'F- CFyU'!H19</f>
        <v>238110465.86952394</v>
      </c>
      <c r="N34" s="622">
        <f>G31</f>
        <v>238110465.86952406</v>
      </c>
      <c r="O34" s="622">
        <f t="shared" si="10"/>
        <v>0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40"/>
      <c r="B35" s="40"/>
      <c r="C35" s="25" t="s">
        <v>452</v>
      </c>
      <c r="D35" s="873">
        <f>4+(-H28/G29)</f>
        <v>3.1586237817569263</v>
      </c>
      <c r="E35" s="40" t="s">
        <v>719</v>
      </c>
      <c r="F35" s="40"/>
      <c r="G35" s="40"/>
      <c r="H35" s="40"/>
      <c r="I35" s="40"/>
      <c r="J35" s="40"/>
      <c r="K35" s="953" t="s">
        <v>720</v>
      </c>
      <c r="L35" s="902"/>
      <c r="M35" s="40"/>
      <c r="N35" s="40">
        <f>G35</f>
        <v>0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40"/>
      <c r="B36" s="40"/>
      <c r="C36" s="25" t="s">
        <v>721</v>
      </c>
      <c r="D36" s="859">
        <f>IRR(H24:H29)</f>
        <v>0.41865242681619064</v>
      </c>
      <c r="E36" s="40"/>
      <c r="F36" s="40"/>
      <c r="G36" s="40"/>
      <c r="H36" s="40"/>
      <c r="I36" s="40"/>
      <c r="J36" s="40"/>
      <c r="K36" s="589" t="s">
        <v>722</v>
      </c>
      <c r="L36" s="590" t="str">
        <f>IF(SUM('F-Balance'!B35:G35)=SUM('F-Balance'!B24:G24),"OK","MAL")</f>
        <v>OK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mergeCells count="4">
    <mergeCell ref="K23:L23"/>
    <mergeCell ref="K24:L24"/>
    <mergeCell ref="K29:L29"/>
    <mergeCell ref="K35:L35"/>
  </mergeCells>
  <conditionalFormatting sqref="L25">
    <cfRule type="cellIs" dxfId="19" priority="1" operator="equal">
      <formula>"OK"</formula>
    </cfRule>
  </conditionalFormatting>
  <conditionalFormatting sqref="L25">
    <cfRule type="cellIs" dxfId="18" priority="2" operator="equal">
      <formula>"MAL"</formula>
    </cfRule>
  </conditionalFormatting>
  <conditionalFormatting sqref="L26">
    <cfRule type="cellIs" dxfId="17" priority="3" operator="equal">
      <formula>"OK"</formula>
    </cfRule>
  </conditionalFormatting>
  <conditionalFormatting sqref="L26">
    <cfRule type="cellIs" dxfId="16" priority="4" operator="equal">
      <formula>"MAL"</formula>
    </cfRule>
  </conditionalFormatting>
  <conditionalFormatting sqref="L27">
    <cfRule type="cellIs" dxfId="15" priority="5" operator="equal">
      <formula>"OK"</formula>
    </cfRule>
  </conditionalFormatting>
  <conditionalFormatting sqref="L27">
    <cfRule type="cellIs" dxfId="14" priority="6" operator="equal">
      <formula>"MAL"</formula>
    </cfRule>
  </conditionalFormatting>
  <conditionalFormatting sqref="L28">
    <cfRule type="cellIs" dxfId="13" priority="7" operator="equal">
      <formula>"OK"</formula>
    </cfRule>
  </conditionalFormatting>
  <conditionalFormatting sqref="L28">
    <cfRule type="cellIs" dxfId="12" priority="8" operator="equal">
      <formula>"MAL"</formula>
    </cfRule>
  </conditionalFormatting>
  <conditionalFormatting sqref="L30">
    <cfRule type="cellIs" dxfId="11" priority="9" operator="equal">
      <formula>"OK"</formula>
    </cfRule>
  </conditionalFormatting>
  <conditionalFormatting sqref="L30">
    <cfRule type="cellIs" dxfId="10" priority="10" operator="equal">
      <formula>"MAL"</formula>
    </cfRule>
  </conditionalFormatting>
  <conditionalFormatting sqref="L31">
    <cfRule type="cellIs" dxfId="9" priority="11" operator="equal">
      <formula>"OK"</formula>
    </cfRule>
  </conditionalFormatting>
  <conditionalFormatting sqref="L31">
    <cfRule type="cellIs" dxfId="8" priority="12" operator="equal">
      <formula>"MAL"</formula>
    </cfRule>
  </conditionalFormatting>
  <conditionalFormatting sqref="L32">
    <cfRule type="cellIs" dxfId="7" priority="13" operator="equal">
      <formula>"OK"</formula>
    </cfRule>
  </conditionalFormatting>
  <conditionalFormatting sqref="L32">
    <cfRule type="cellIs" dxfId="6" priority="14" operator="equal">
      <formula>"MAL"</formula>
    </cfRule>
  </conditionalFormatting>
  <conditionalFormatting sqref="L33">
    <cfRule type="cellIs" dxfId="5" priority="15" operator="equal">
      <formula>"OK"</formula>
    </cfRule>
  </conditionalFormatting>
  <conditionalFormatting sqref="L33">
    <cfRule type="cellIs" dxfId="4" priority="16" operator="equal">
      <formula>"MAL"</formula>
    </cfRule>
  </conditionalFormatting>
  <conditionalFormatting sqref="L34">
    <cfRule type="cellIs" dxfId="3" priority="17" operator="equal">
      <formula>"OK"</formula>
    </cfRule>
  </conditionalFormatting>
  <conditionalFormatting sqref="L34">
    <cfRule type="cellIs" dxfId="2" priority="18" operator="equal">
      <formula>"MAL"</formula>
    </cfRule>
  </conditionalFormatting>
  <conditionalFormatting sqref="L36">
    <cfRule type="cellIs" dxfId="1" priority="19" operator="equal">
      <formula>"OK"</formula>
    </cfRule>
  </conditionalFormatting>
  <conditionalFormatting sqref="L36">
    <cfRule type="cellIs" dxfId="0" priority="20" operator="equal">
      <formula>"MAL"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83"/>
  <sheetViews>
    <sheetView topLeftCell="A193" workbookViewId="0">
      <selection activeCell="F208" sqref="F208"/>
    </sheetView>
  </sheetViews>
  <sheetFormatPr baseColWidth="10" defaultColWidth="14.42578125" defaultRowHeight="15" customHeight="1"/>
  <cols>
    <col min="1" max="1" width="26.85546875" customWidth="1"/>
    <col min="2" max="2" width="10" customWidth="1"/>
    <col min="3" max="3" width="13" customWidth="1"/>
    <col min="4" max="4" width="12.28515625" customWidth="1"/>
    <col min="5" max="5" width="27.7109375" customWidth="1"/>
    <col min="6" max="6" width="18" customWidth="1"/>
    <col min="7" max="7" width="24.85546875" customWidth="1"/>
    <col min="8" max="8" width="27.42578125" customWidth="1"/>
    <col min="9" max="9" width="13.140625" customWidth="1"/>
    <col min="10" max="10" width="17.7109375" customWidth="1"/>
    <col min="11" max="11" width="19.28515625" customWidth="1"/>
    <col min="12" max="12" width="14.42578125" customWidth="1"/>
    <col min="13" max="13" width="10" customWidth="1"/>
    <col min="14" max="14" width="11.42578125" customWidth="1"/>
    <col min="15" max="26" width="10" customWidth="1"/>
  </cols>
  <sheetData>
    <row r="1" spans="1:18" ht="15.75" customHeight="1">
      <c r="B1" s="1"/>
      <c r="C1" s="1"/>
      <c r="D1" s="4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 customHeight="1">
      <c r="B3">
        <f>F218/12</f>
        <v>240480</v>
      </c>
      <c r="C3" s="6" t="s">
        <v>3</v>
      </c>
      <c r="D3" s="7" t="s">
        <v>4</v>
      </c>
      <c r="E3" s="8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>
      <c r="C4" s="10" t="s">
        <v>7</v>
      </c>
      <c r="D4" s="12">
        <v>75000</v>
      </c>
      <c r="E4" s="13">
        <f>+'Calculos auxiliares'!D4*InfoInicial!B32</f>
        <v>3000000</v>
      </c>
      <c r="F4" s="14" t="s">
        <v>11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>
      <c r="A5" s="1"/>
      <c r="B5" s="16"/>
      <c r="C5" s="16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customHeight="1">
      <c r="C6" s="17" t="s">
        <v>13</v>
      </c>
      <c r="D6" s="18" t="s">
        <v>14</v>
      </c>
      <c r="E6" s="19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customHeight="1">
      <c r="C7" s="20"/>
      <c r="D7" s="21">
        <v>11244.67</v>
      </c>
      <c r="E7" s="22">
        <v>4479314.2944999998</v>
      </c>
      <c r="F7" s="1" t="s">
        <v>18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B9" s="6" t="s">
        <v>19</v>
      </c>
      <c r="C9" s="7" t="s">
        <v>5</v>
      </c>
      <c r="D9" s="7" t="s">
        <v>20</v>
      </c>
      <c r="E9" s="8" t="s">
        <v>21</v>
      </c>
      <c r="O9" s="1"/>
      <c r="P9" s="1"/>
      <c r="Q9" s="1"/>
      <c r="R9" s="1"/>
    </row>
    <row r="10" spans="1:18" ht="12.75" customHeight="1">
      <c r="B10" s="23" t="s">
        <v>22</v>
      </c>
      <c r="C10" s="24">
        <v>60409</v>
      </c>
      <c r="D10" s="26">
        <v>1</v>
      </c>
      <c r="E10" s="28">
        <f t="shared" ref="E10:E13" si="0">+C10*D10</f>
        <v>60409</v>
      </c>
      <c r="F10" s="53" t="s">
        <v>66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 customHeight="1">
      <c r="B11" s="23" t="s">
        <v>83</v>
      </c>
      <c r="C11" s="24">
        <v>81180</v>
      </c>
      <c r="D11" s="26">
        <v>1</v>
      </c>
      <c r="E11" s="28">
        <f t="shared" si="0"/>
        <v>81180</v>
      </c>
      <c r="F11" s="53" t="s">
        <v>85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 customHeight="1">
      <c r="B12" s="55" t="s">
        <v>87</v>
      </c>
      <c r="C12" s="56">
        <v>82998</v>
      </c>
      <c r="D12" s="57">
        <v>3</v>
      </c>
      <c r="E12" s="28">
        <f t="shared" si="0"/>
        <v>248994</v>
      </c>
      <c r="F12" s="53" t="s">
        <v>88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 customHeight="1">
      <c r="B13" s="55" t="s">
        <v>90</v>
      </c>
      <c r="C13" s="56">
        <v>240000</v>
      </c>
      <c r="D13" s="61">
        <v>4</v>
      </c>
      <c r="E13" s="28">
        <f t="shared" si="0"/>
        <v>960000</v>
      </c>
      <c r="F13" s="53" t="s">
        <v>91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 customHeight="1">
      <c r="B14" s="55" t="s">
        <v>92</v>
      </c>
      <c r="C14" s="64">
        <v>280000</v>
      </c>
      <c r="D14" s="57">
        <v>1</v>
      </c>
      <c r="E14" s="28">
        <f>C14*D14</f>
        <v>280000</v>
      </c>
      <c r="F14" s="1" t="s">
        <v>96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>
      <c r="B15" s="55" t="s">
        <v>98</v>
      </c>
      <c r="C15" s="64">
        <v>465000</v>
      </c>
      <c r="D15" s="57">
        <v>1</v>
      </c>
      <c r="E15" s="28">
        <f>+C15*D15</f>
        <v>465000</v>
      </c>
      <c r="F15" s="66" t="s">
        <v>101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>
      <c r="E16" s="67">
        <f>+SUM(E10:E15)</f>
        <v>2095583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>
      <c r="A17" s="5"/>
      <c r="B17" s="1"/>
      <c r="C17" s="6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>
      <c r="B18" s="6" t="s">
        <v>105</v>
      </c>
      <c r="C18" s="7" t="s">
        <v>5</v>
      </c>
      <c r="D18" s="7" t="s">
        <v>20</v>
      </c>
      <c r="E18" s="8" t="s">
        <v>21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12.75" customHeight="1">
      <c r="B19" s="70" t="s">
        <v>106</v>
      </c>
      <c r="C19" s="71">
        <v>1200000</v>
      </c>
      <c r="D19" s="26">
        <v>2</v>
      </c>
      <c r="E19" s="28">
        <f>+C19*D19</f>
        <v>2400000</v>
      </c>
      <c r="F19" s="72" t="s">
        <v>107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 customHeight="1">
      <c r="A21" s="73" t="s">
        <v>108</v>
      </c>
      <c r="B21" s="7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customHeight="1">
      <c r="B22" s="75" t="s">
        <v>110</v>
      </c>
      <c r="C22" s="76">
        <v>118800</v>
      </c>
      <c r="D22" s="77" t="s">
        <v>111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B23" s="78" t="s">
        <v>72</v>
      </c>
      <c r="C23" s="79">
        <v>79200</v>
      </c>
      <c r="D23" s="77" t="s">
        <v>113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customHeight="1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>
      <c r="B26" s="6" t="s">
        <v>84</v>
      </c>
      <c r="C26" s="7" t="s">
        <v>5</v>
      </c>
      <c r="D26" s="7" t="s">
        <v>20</v>
      </c>
      <c r="E26" s="81" t="s">
        <v>21</v>
      </c>
      <c r="F26" s="82" t="s">
        <v>115</v>
      </c>
      <c r="G26" s="8" t="s">
        <v>116</v>
      </c>
      <c r="H26" s="8" t="s">
        <v>117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customHeight="1">
      <c r="B27" s="83" t="s">
        <v>118</v>
      </c>
      <c r="C27" s="24">
        <v>2500</v>
      </c>
      <c r="D27" s="84">
        <v>8</v>
      </c>
      <c r="E27" s="85">
        <f t="shared" ref="E27:E52" si="1">C27*D27</f>
        <v>20000</v>
      </c>
      <c r="F27" s="87">
        <f>4*C27</f>
        <v>10000</v>
      </c>
      <c r="G27" s="87">
        <f>2*C27</f>
        <v>5000</v>
      </c>
      <c r="H27" s="87">
        <f t="shared" ref="H27:H28" si="2">2*C27</f>
        <v>5000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 customHeight="1">
      <c r="B28" s="90" t="s">
        <v>120</v>
      </c>
      <c r="C28" s="56">
        <v>1500</v>
      </c>
      <c r="D28" s="61">
        <v>11</v>
      </c>
      <c r="E28" s="91">
        <f t="shared" si="1"/>
        <v>16500</v>
      </c>
      <c r="F28" s="93">
        <f>6*C28</f>
        <v>9000</v>
      </c>
      <c r="G28" s="95">
        <f>3*C28</f>
        <v>4500</v>
      </c>
      <c r="H28" s="95">
        <f t="shared" si="2"/>
        <v>3000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 customHeight="1">
      <c r="B29" s="90" t="s">
        <v>126</v>
      </c>
      <c r="C29" s="56">
        <v>8000</v>
      </c>
      <c r="D29" s="61">
        <v>4</v>
      </c>
      <c r="E29" s="91">
        <f t="shared" si="1"/>
        <v>32000</v>
      </c>
      <c r="F29" s="93">
        <f t="shared" ref="F29:F30" si="3">2*C29</f>
        <v>16000</v>
      </c>
      <c r="G29" s="95">
        <f t="shared" ref="G29:G30" si="4">C29</f>
        <v>8000</v>
      </c>
      <c r="H29" s="95">
        <f t="shared" ref="H29:H30" si="5">C29</f>
        <v>8000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 customHeight="1">
      <c r="B30" s="90" t="s">
        <v>130</v>
      </c>
      <c r="C30" s="56">
        <v>12000</v>
      </c>
      <c r="D30" s="61">
        <v>4</v>
      </c>
      <c r="E30" s="91">
        <f t="shared" si="1"/>
        <v>48000</v>
      </c>
      <c r="F30" s="93">
        <f t="shared" si="3"/>
        <v>24000</v>
      </c>
      <c r="G30" s="95">
        <f t="shared" si="4"/>
        <v>12000</v>
      </c>
      <c r="H30" s="95">
        <f t="shared" si="5"/>
        <v>12000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 customHeight="1">
      <c r="B31" s="90" t="s">
        <v>134</v>
      </c>
      <c r="C31" s="56">
        <v>400</v>
      </c>
      <c r="D31" s="61">
        <v>11</v>
      </c>
      <c r="E31" s="91">
        <f t="shared" si="1"/>
        <v>4400</v>
      </c>
      <c r="F31" s="93">
        <f>4*C31</f>
        <v>1600</v>
      </c>
      <c r="G31" s="56">
        <f>2*C31</f>
        <v>800</v>
      </c>
      <c r="H31" s="95">
        <f>5*C31</f>
        <v>2000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customHeight="1">
      <c r="B32" s="90" t="s">
        <v>135</v>
      </c>
      <c r="C32" s="56">
        <v>600</v>
      </c>
      <c r="D32" s="61">
        <v>2</v>
      </c>
      <c r="E32" s="91">
        <f t="shared" si="1"/>
        <v>1200</v>
      </c>
      <c r="F32" s="87">
        <v>0</v>
      </c>
      <c r="G32" s="103">
        <v>0</v>
      </c>
      <c r="H32" s="95">
        <f>2*C32</f>
        <v>1200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2.75" customHeight="1">
      <c r="B33" s="90" t="s">
        <v>136</v>
      </c>
      <c r="C33" s="56">
        <v>2200</v>
      </c>
      <c r="D33" s="61">
        <v>11</v>
      </c>
      <c r="E33" s="91">
        <f t="shared" si="1"/>
        <v>24200</v>
      </c>
      <c r="F33" s="93">
        <f>3*C33</f>
        <v>6600</v>
      </c>
      <c r="G33" s="95">
        <f>2*C33</f>
        <v>4400</v>
      </c>
      <c r="H33" s="95">
        <f>6*C33</f>
        <v>13200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2.75" customHeight="1">
      <c r="B34" s="90" t="s">
        <v>137</v>
      </c>
      <c r="C34" s="56">
        <v>600</v>
      </c>
      <c r="D34" s="61">
        <v>4</v>
      </c>
      <c r="E34" s="91">
        <f t="shared" si="1"/>
        <v>2400</v>
      </c>
      <c r="F34" s="87">
        <v>600</v>
      </c>
      <c r="G34" s="95">
        <f>1*C34</f>
        <v>600</v>
      </c>
      <c r="H34" s="95">
        <f>2*C34</f>
        <v>1200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2.75" customHeight="1">
      <c r="B35" s="90" t="s">
        <v>138</v>
      </c>
      <c r="C35" s="64">
        <v>250</v>
      </c>
      <c r="D35" s="61">
        <v>3</v>
      </c>
      <c r="E35" s="91">
        <f t="shared" si="1"/>
        <v>750</v>
      </c>
      <c r="F35" s="87">
        <v>250</v>
      </c>
      <c r="G35" s="103">
        <v>250</v>
      </c>
      <c r="H35" s="103">
        <v>250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2.75" customHeight="1">
      <c r="B36" s="90" t="s">
        <v>139</v>
      </c>
      <c r="C36" s="56">
        <v>300</v>
      </c>
      <c r="D36" s="61">
        <v>7</v>
      </c>
      <c r="E36" s="91">
        <f t="shared" si="1"/>
        <v>2100</v>
      </c>
      <c r="F36" s="93">
        <f>2*C36</f>
        <v>600</v>
      </c>
      <c r="G36" s="95">
        <f>1*C36</f>
        <v>300</v>
      </c>
      <c r="H36" s="95">
        <f t="shared" ref="H36:H37" si="6">4*C36</f>
        <v>1200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2.75" customHeight="1">
      <c r="B37" s="90" t="s">
        <v>140</v>
      </c>
      <c r="C37" s="56">
        <v>1500</v>
      </c>
      <c r="D37" s="61">
        <v>5</v>
      </c>
      <c r="E37" s="91">
        <f t="shared" si="1"/>
        <v>7500</v>
      </c>
      <c r="F37" s="93">
        <f>1*C37</f>
        <v>1500</v>
      </c>
      <c r="G37" s="103">
        <v>0</v>
      </c>
      <c r="H37" s="95">
        <f t="shared" si="6"/>
        <v>6000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2.75" customHeight="1">
      <c r="B38" s="90" t="s">
        <v>141</v>
      </c>
      <c r="C38" s="56">
        <v>250</v>
      </c>
      <c r="D38" s="61">
        <v>3</v>
      </c>
      <c r="E38" s="91">
        <f t="shared" si="1"/>
        <v>750</v>
      </c>
      <c r="F38" s="93">
        <f t="shared" ref="F38:H38" si="7">1*$C$38</f>
        <v>250</v>
      </c>
      <c r="G38" s="93">
        <f t="shared" si="7"/>
        <v>250</v>
      </c>
      <c r="H38" s="93">
        <f t="shared" si="7"/>
        <v>250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2.75" customHeight="1">
      <c r="B39" s="90" t="s">
        <v>142</v>
      </c>
      <c r="C39" s="56">
        <v>900</v>
      </c>
      <c r="D39" s="61">
        <v>3</v>
      </c>
      <c r="E39" s="91">
        <f t="shared" si="1"/>
        <v>2700</v>
      </c>
      <c r="F39" s="87">
        <v>900</v>
      </c>
      <c r="G39" s="103">
        <v>900</v>
      </c>
      <c r="H39" s="103">
        <v>900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2.75" customHeight="1">
      <c r="B40" s="90" t="s">
        <v>143</v>
      </c>
      <c r="C40" s="56">
        <v>1400</v>
      </c>
      <c r="D40" s="61">
        <v>14</v>
      </c>
      <c r="E40" s="91">
        <f t="shared" si="1"/>
        <v>19600</v>
      </c>
      <c r="F40" s="87">
        <v>0</v>
      </c>
      <c r="G40" s="103">
        <v>0</v>
      </c>
      <c r="H40" s="95">
        <f t="shared" ref="H40:H44" si="8">14*C40</f>
        <v>19600</v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2.75" customHeight="1">
      <c r="B41" s="90" t="s">
        <v>144</v>
      </c>
      <c r="C41" s="56">
        <v>3000</v>
      </c>
      <c r="D41" s="61">
        <v>14</v>
      </c>
      <c r="E41" s="91">
        <f t="shared" si="1"/>
        <v>42000</v>
      </c>
      <c r="F41" s="87">
        <v>0</v>
      </c>
      <c r="G41" s="103">
        <v>0</v>
      </c>
      <c r="H41" s="95">
        <f t="shared" si="8"/>
        <v>42000</v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2.75" customHeight="1">
      <c r="B42" s="90" t="s">
        <v>145</v>
      </c>
      <c r="C42" s="56">
        <v>25</v>
      </c>
      <c r="D42" s="61">
        <v>14</v>
      </c>
      <c r="E42" s="91">
        <f t="shared" si="1"/>
        <v>350</v>
      </c>
      <c r="F42" s="87">
        <v>0</v>
      </c>
      <c r="G42" s="103">
        <v>0</v>
      </c>
      <c r="H42" s="95">
        <f t="shared" si="8"/>
        <v>350</v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2.75" customHeight="1">
      <c r="B43" s="90" t="s">
        <v>146</v>
      </c>
      <c r="C43" s="56">
        <v>10</v>
      </c>
      <c r="D43" s="61">
        <v>14</v>
      </c>
      <c r="E43" s="91">
        <f t="shared" si="1"/>
        <v>140</v>
      </c>
      <c r="F43" s="87">
        <v>0</v>
      </c>
      <c r="G43" s="103">
        <v>0</v>
      </c>
      <c r="H43" s="95">
        <f t="shared" si="8"/>
        <v>140</v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2.75" customHeight="1">
      <c r="B44" s="90" t="s">
        <v>147</v>
      </c>
      <c r="C44" s="56">
        <v>60</v>
      </c>
      <c r="D44" s="61">
        <v>14</v>
      </c>
      <c r="E44" s="91">
        <f t="shared" si="1"/>
        <v>840</v>
      </c>
      <c r="F44" s="87">
        <v>0</v>
      </c>
      <c r="G44" s="103">
        <v>0</v>
      </c>
      <c r="H44" s="95">
        <f t="shared" si="8"/>
        <v>840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2.75" customHeight="1">
      <c r="B45" s="90" t="s">
        <v>148</v>
      </c>
      <c r="C45" s="56">
        <v>12000</v>
      </c>
      <c r="D45" s="61">
        <v>2</v>
      </c>
      <c r="E45" s="91">
        <f t="shared" si="1"/>
        <v>24000</v>
      </c>
      <c r="F45" s="87">
        <v>0</v>
      </c>
      <c r="G45" s="103">
        <v>0</v>
      </c>
      <c r="H45" s="95">
        <f>2*C45</f>
        <v>24000</v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2.75" customHeight="1">
      <c r="B46" s="90" t="s">
        <v>149</v>
      </c>
      <c r="C46" s="56">
        <v>350</v>
      </c>
      <c r="D46" s="61">
        <v>7</v>
      </c>
      <c r="E46" s="91">
        <f t="shared" si="1"/>
        <v>2450</v>
      </c>
      <c r="F46" s="87">
        <v>0</v>
      </c>
      <c r="G46" s="103">
        <v>0</v>
      </c>
      <c r="H46" s="95">
        <f>7*C46</f>
        <v>2450</v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2.75" customHeight="1">
      <c r="B47" s="90" t="s">
        <v>150</v>
      </c>
      <c r="C47" s="56">
        <v>6000</v>
      </c>
      <c r="D47" s="61">
        <v>4</v>
      </c>
      <c r="E47" s="91">
        <f t="shared" si="1"/>
        <v>24000</v>
      </c>
      <c r="F47" s="93">
        <f>2*C47</f>
        <v>12000</v>
      </c>
      <c r="G47" s="95">
        <f>1*C47</f>
        <v>6000</v>
      </c>
      <c r="H47" s="95">
        <f>1*C47</f>
        <v>6000</v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2.75" customHeight="1">
      <c r="B48" s="90" t="s">
        <v>151</v>
      </c>
      <c r="C48" s="56">
        <v>150</v>
      </c>
      <c r="D48" s="61">
        <v>14</v>
      </c>
      <c r="E48" s="91">
        <f t="shared" si="1"/>
        <v>2100</v>
      </c>
      <c r="F48" s="87">
        <v>0</v>
      </c>
      <c r="G48" s="103">
        <v>0</v>
      </c>
      <c r="H48" s="95">
        <f t="shared" ref="H48:H49" si="9">14*C48</f>
        <v>2100</v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90" t="s">
        <v>152</v>
      </c>
      <c r="C49" s="56">
        <v>100</v>
      </c>
      <c r="D49" s="61">
        <v>14</v>
      </c>
      <c r="E49" s="91">
        <f t="shared" si="1"/>
        <v>1400</v>
      </c>
      <c r="F49" s="87">
        <v>0</v>
      </c>
      <c r="G49" s="103">
        <v>0</v>
      </c>
      <c r="H49" s="95">
        <f t="shared" si="9"/>
        <v>1400</v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2.75" customHeight="1">
      <c r="B50" s="90" t="s">
        <v>153</v>
      </c>
      <c r="C50" s="56">
        <v>2000</v>
      </c>
      <c r="D50" s="61">
        <v>6</v>
      </c>
      <c r="E50" s="91">
        <f t="shared" si="1"/>
        <v>12000</v>
      </c>
      <c r="F50" s="93">
        <f t="shared" ref="F50:F51" si="10">4*C50</f>
        <v>8000</v>
      </c>
      <c r="G50" s="95">
        <f>2*C50</f>
        <v>4000</v>
      </c>
      <c r="H50" s="103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2.75" customHeight="1">
      <c r="B51" s="90" t="s">
        <v>154</v>
      </c>
      <c r="C51" s="56">
        <v>300</v>
      </c>
      <c r="D51" s="61">
        <v>4</v>
      </c>
      <c r="E51" s="91">
        <f t="shared" si="1"/>
        <v>1200</v>
      </c>
      <c r="F51" s="93">
        <f t="shared" si="10"/>
        <v>1200</v>
      </c>
      <c r="G51" s="95">
        <f>1*C51</f>
        <v>300</v>
      </c>
      <c r="H51" s="103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2.75" customHeight="1">
      <c r="B52" s="90" t="s">
        <v>155</v>
      </c>
      <c r="C52" s="56">
        <v>5000</v>
      </c>
      <c r="D52" s="61">
        <v>3</v>
      </c>
      <c r="E52" s="91">
        <f t="shared" si="1"/>
        <v>15000</v>
      </c>
      <c r="F52" s="87">
        <v>5000</v>
      </c>
      <c r="G52" s="103">
        <v>5000</v>
      </c>
      <c r="H52" s="103">
        <v>5000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3.5" customHeight="1">
      <c r="B53" s="5"/>
      <c r="C53" s="1"/>
      <c r="D53" s="1"/>
      <c r="E53" s="122">
        <f t="shared" ref="E53:H53" si="11">SUM(E27:E52)</f>
        <v>307580</v>
      </c>
      <c r="F53" s="123">
        <f t="shared" si="11"/>
        <v>97500</v>
      </c>
      <c r="G53" s="123">
        <f t="shared" si="11"/>
        <v>52300</v>
      </c>
      <c r="H53" s="123">
        <f t="shared" si="11"/>
        <v>158080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3.5" customHeight="1">
      <c r="B54" s="5"/>
      <c r="C54" s="1"/>
      <c r="D54" s="1"/>
      <c r="E54" s="1"/>
      <c r="F54" s="125">
        <f>F53/E53</f>
        <v>0.31699070160608622</v>
      </c>
      <c r="G54" s="128">
        <f>G53/E53</f>
        <v>0.17003706352818779</v>
      </c>
      <c r="H54" s="128">
        <f>H53/E53</f>
        <v>0.51394759087066777</v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3.5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 customHeight="1">
      <c r="B56" s="6" t="s">
        <v>156</v>
      </c>
      <c r="C56" s="7" t="s">
        <v>5</v>
      </c>
      <c r="D56" s="7" t="s">
        <v>20</v>
      </c>
      <c r="E56" s="8" t="s">
        <v>21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 customHeight="1">
      <c r="B57" s="132" t="s">
        <v>158</v>
      </c>
      <c r="C57" s="64">
        <v>1</v>
      </c>
      <c r="D57" s="61">
        <v>500</v>
      </c>
      <c r="E57" s="95">
        <f t="shared" ref="E57:E64" si="12">C57*D57</f>
        <v>500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 customHeight="1">
      <c r="B58" s="132" t="s">
        <v>160</v>
      </c>
      <c r="C58" s="64">
        <v>1</v>
      </c>
      <c r="D58" s="61">
        <v>100</v>
      </c>
      <c r="E58" s="95">
        <f t="shared" si="12"/>
        <v>100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 customHeight="1">
      <c r="B59" s="132" t="s">
        <v>161</v>
      </c>
      <c r="C59" s="64">
        <v>5</v>
      </c>
      <c r="D59" s="61">
        <v>1000</v>
      </c>
      <c r="E59" s="95">
        <f t="shared" si="12"/>
        <v>5000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 customHeight="1">
      <c r="B60" s="90" t="s">
        <v>162</v>
      </c>
      <c r="C60" s="134">
        <v>48</v>
      </c>
      <c r="D60" s="61">
        <v>30</v>
      </c>
      <c r="E60" s="95">
        <f t="shared" si="12"/>
        <v>1440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 customHeight="1">
      <c r="B61" s="90" t="s">
        <v>163</v>
      </c>
      <c r="C61" s="64">
        <v>150</v>
      </c>
      <c r="D61" s="61">
        <v>50</v>
      </c>
      <c r="E61" s="95">
        <f t="shared" si="12"/>
        <v>7500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 customHeight="1">
      <c r="B62" s="90" t="s">
        <v>164</v>
      </c>
      <c r="C62" s="64">
        <v>720</v>
      </c>
      <c r="D62" s="61">
        <v>2</v>
      </c>
      <c r="E62" s="95">
        <f t="shared" si="12"/>
        <v>1440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3.5" customHeight="1">
      <c r="B63" s="135" t="s">
        <v>165</v>
      </c>
      <c r="C63" s="136">
        <v>2</v>
      </c>
      <c r="D63" s="137">
        <v>1000</v>
      </c>
      <c r="E63" s="95">
        <f t="shared" si="12"/>
        <v>2000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3.5" customHeight="1">
      <c r="B64" s="138" t="s">
        <v>166</v>
      </c>
      <c r="C64" s="140">
        <v>2000</v>
      </c>
      <c r="D64" s="142">
        <v>2</v>
      </c>
      <c r="E64" s="95">
        <f t="shared" si="12"/>
        <v>4000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5"/>
      <c r="B65" s="5"/>
      <c r="C65" s="1"/>
      <c r="D65" s="1"/>
      <c r="E65" s="122">
        <f>SUM(E57:E64)</f>
        <v>21980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 customHeight="1">
      <c r="A66" s="146" t="s">
        <v>168</v>
      </c>
      <c r="B66" s="147"/>
      <c r="C66" s="148"/>
      <c r="D66" s="15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>
      <c r="D67" s="15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>
      <c r="D68" s="15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B69" s="154"/>
      <c r="C69" s="155" t="s">
        <v>169</v>
      </c>
      <c r="D69" s="155" t="s">
        <v>170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3.5" customHeight="1">
      <c r="B70" s="156" t="s">
        <v>171</v>
      </c>
      <c r="C70" s="157">
        <v>221.15</v>
      </c>
      <c r="D70" s="158">
        <f t="shared" ref="D70:D72" si="13">C70/ SUM(C$70:C$72)</f>
        <v>0.58451169552002114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3.5" customHeight="1">
      <c r="B71" s="159" t="s">
        <v>172</v>
      </c>
      <c r="C71" s="160">
        <v>127.2</v>
      </c>
      <c r="D71" s="158">
        <f t="shared" si="13"/>
        <v>0.33619664331967752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154"/>
      <c r="B72" s="161" t="s">
        <v>173</v>
      </c>
      <c r="C72" s="162">
        <v>30</v>
      </c>
      <c r="D72" s="158">
        <f t="shared" si="13"/>
        <v>7.9291661160301299E-2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customHeight="1">
      <c r="A73" s="5"/>
      <c r="B73" s="163" t="s">
        <v>174</v>
      </c>
      <c r="C73" s="164">
        <f t="shared" ref="C73:D73" si="14">+SUM(C70:C72)</f>
        <v>378.35</v>
      </c>
      <c r="D73" s="165">
        <f t="shared" si="14"/>
        <v>0.99999999999999989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customHeight="1">
      <c r="A74" s="5"/>
      <c r="B74" s="4"/>
      <c r="C74" s="1"/>
      <c r="D74" s="1"/>
      <c r="E74" s="1"/>
      <c r="F74" s="16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5"/>
      <c r="B75" s="1"/>
      <c r="C75" s="167" t="s">
        <v>175</v>
      </c>
      <c r="D75" s="1"/>
      <c r="E75" s="168" t="s">
        <v>176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3.5" customHeight="1">
      <c r="A76" s="5"/>
      <c r="B76" s="1"/>
      <c r="C76" s="1"/>
      <c r="D76" s="1"/>
      <c r="E76" s="1"/>
      <c r="F76" s="1"/>
      <c r="G76" s="1"/>
      <c r="H76" s="1"/>
      <c r="I76" s="169"/>
      <c r="J76" s="1"/>
      <c r="K76" s="1"/>
      <c r="L76" s="1"/>
      <c r="M76" s="1"/>
      <c r="N76" s="1"/>
      <c r="O76" s="1"/>
      <c r="P76" s="1"/>
      <c r="Q76" s="1"/>
      <c r="R76" s="1"/>
    </row>
    <row r="77" spans="1:18" ht="13.5" customHeight="1">
      <c r="A77" s="5"/>
      <c r="B77" s="1"/>
      <c r="C77" s="1"/>
      <c r="D77" s="1"/>
      <c r="E77" s="6" t="s">
        <v>177</v>
      </c>
      <c r="F77" s="170" t="s">
        <v>178</v>
      </c>
      <c r="G77" s="171" t="s">
        <v>179</v>
      </c>
      <c r="H77" s="170" t="s">
        <v>180</v>
      </c>
      <c r="I77" s="172" t="s">
        <v>181</v>
      </c>
      <c r="J77" s="173" t="s">
        <v>182</v>
      </c>
      <c r="K77" s="1"/>
      <c r="L77" s="77"/>
      <c r="M77" s="1"/>
      <c r="N77" s="1"/>
      <c r="O77" s="1"/>
      <c r="P77" s="1"/>
      <c r="Q77" s="1"/>
      <c r="R77" s="1"/>
    </row>
    <row r="78" spans="1:18" ht="12.75" customHeight="1">
      <c r="A78" s="5"/>
      <c r="B78" s="1"/>
      <c r="C78" s="1"/>
      <c r="D78" s="1"/>
      <c r="E78" s="174">
        <v>1</v>
      </c>
      <c r="F78" s="175" t="s">
        <v>183</v>
      </c>
      <c r="G78" s="176">
        <f>991.525/1000</f>
        <v>0.99152499999999999</v>
      </c>
      <c r="H78" s="84" t="s">
        <v>184</v>
      </c>
      <c r="I78" s="177">
        <v>81</v>
      </c>
      <c r="J78" s="178">
        <f t="shared" ref="J78:J82" si="15">$F$215*I78*G78</f>
        <v>203287185.07425001</v>
      </c>
      <c r="K78" s="179" t="s">
        <v>185</v>
      </c>
      <c r="L78" s="77"/>
      <c r="M78" s="1"/>
      <c r="N78" s="1"/>
      <c r="O78" s="1"/>
      <c r="P78" s="1"/>
      <c r="Q78" s="1"/>
      <c r="R78" s="1"/>
    </row>
    <row r="79" spans="1:18" ht="12.75" customHeight="1">
      <c r="A79" s="5"/>
      <c r="B79" s="1"/>
      <c r="C79" s="1"/>
      <c r="D79" s="1"/>
      <c r="E79" s="180">
        <v>2</v>
      </c>
      <c r="F79" s="181" t="s">
        <v>186</v>
      </c>
      <c r="G79" s="182">
        <v>8.4375000000000006E-3</v>
      </c>
      <c r="H79" s="61" t="s">
        <v>184</v>
      </c>
      <c r="I79" s="183">
        <v>11</v>
      </c>
      <c r="J79" s="178">
        <f t="shared" si="15"/>
        <v>234924.21562500001</v>
      </c>
      <c r="K79" s="66" t="s">
        <v>187</v>
      </c>
      <c r="L79" s="1"/>
      <c r="M79" s="1"/>
      <c r="N79" s="1"/>
      <c r="O79" s="1"/>
      <c r="P79" s="1"/>
      <c r="Q79" s="1"/>
      <c r="R79" s="1"/>
    </row>
    <row r="80" spans="1:18" ht="12.75" customHeight="1">
      <c r="A80" s="5"/>
      <c r="B80" s="1"/>
      <c r="C80" s="1"/>
      <c r="D80" s="1"/>
      <c r="E80" s="180">
        <v>3</v>
      </c>
      <c r="F80" s="181" t="s">
        <v>188</v>
      </c>
      <c r="G80" s="184">
        <v>1.2500000000000001E-5</v>
      </c>
      <c r="H80" s="61" t="s">
        <v>184</v>
      </c>
      <c r="I80" s="183">
        <v>13.33</v>
      </c>
      <c r="J80" s="178">
        <f t="shared" si="15"/>
        <v>421.75620125000006</v>
      </c>
      <c r="K80" s="919" t="s">
        <v>189</v>
      </c>
      <c r="L80" s="907"/>
      <c r="M80" s="907"/>
      <c r="N80" s="1"/>
      <c r="O80" s="1"/>
      <c r="P80" s="1"/>
      <c r="Q80" s="1"/>
      <c r="R80" s="1"/>
    </row>
    <row r="81" spans="1:18" ht="12.75" customHeight="1">
      <c r="A81" s="5"/>
      <c r="B81" s="1"/>
      <c r="C81" s="1"/>
      <c r="D81" s="1"/>
      <c r="E81" s="180">
        <v>4</v>
      </c>
      <c r="F81" s="181" t="s">
        <v>190</v>
      </c>
      <c r="G81" s="184">
        <v>1.2500000000000001E-5</v>
      </c>
      <c r="H81" s="61" t="s">
        <v>184</v>
      </c>
      <c r="I81" s="183">
        <v>13.33</v>
      </c>
      <c r="J81" s="178">
        <f t="shared" si="15"/>
        <v>421.75620125000006</v>
      </c>
      <c r="K81" s="907"/>
      <c r="L81" s="907"/>
      <c r="M81" s="907"/>
      <c r="N81" s="1"/>
      <c r="O81" s="1"/>
      <c r="P81" s="1"/>
      <c r="Q81" s="1"/>
      <c r="R81" s="1"/>
    </row>
    <row r="82" spans="1:18" ht="12.75" customHeight="1">
      <c r="A82" s="5"/>
      <c r="B82" s="1"/>
      <c r="C82" s="1"/>
      <c r="D82" s="1"/>
      <c r="E82" s="180">
        <v>5</v>
      </c>
      <c r="F82" s="181" t="s">
        <v>191</v>
      </c>
      <c r="G82" s="184">
        <v>1.2500000000000001E-5</v>
      </c>
      <c r="H82" s="61" t="s">
        <v>184</v>
      </c>
      <c r="I82" s="183">
        <v>13.33</v>
      </c>
      <c r="J82" s="178">
        <f t="shared" si="15"/>
        <v>421.75620125000006</v>
      </c>
      <c r="K82" s="907"/>
      <c r="L82" s="907"/>
      <c r="M82" s="907"/>
      <c r="N82" s="1"/>
      <c r="O82" s="1"/>
      <c r="P82" s="1"/>
      <c r="Q82" s="1"/>
      <c r="R82" s="1"/>
    </row>
    <row r="83" spans="1:18" ht="13.5" customHeight="1">
      <c r="A83" s="5"/>
      <c r="B83" s="1"/>
      <c r="C83" s="1"/>
      <c r="D83" s="1"/>
      <c r="E83" s="169"/>
      <c r="F83" s="185"/>
      <c r="G83" s="69"/>
      <c r="H83" s="69"/>
      <c r="I83" s="186" t="s">
        <v>192</v>
      </c>
      <c r="J83" s="187">
        <f>SUM(J78:J82)</f>
        <v>203523374.55847871</v>
      </c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5"/>
      <c r="B84" s="1"/>
      <c r="C84" s="1"/>
      <c r="D84" s="1"/>
      <c r="E84" s="168" t="s">
        <v>193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3.5" customHeight="1">
      <c r="A85" s="5"/>
      <c r="B85" s="1"/>
      <c r="C85" s="1"/>
      <c r="D85" s="1"/>
      <c r="E85" s="1"/>
      <c r="F85" s="1"/>
      <c r="G85" s="1"/>
      <c r="H85" s="1"/>
      <c r="I85" s="169"/>
      <c r="J85" s="1"/>
      <c r="K85" s="1"/>
      <c r="L85" s="1"/>
      <c r="M85" s="1"/>
      <c r="N85" s="1"/>
      <c r="O85" s="1"/>
      <c r="P85" s="1"/>
      <c r="Q85" s="1"/>
      <c r="R85" s="1"/>
    </row>
    <row r="86" spans="1:18" ht="13.5" customHeight="1">
      <c r="A86" s="5"/>
      <c r="B86" s="1"/>
      <c r="C86" s="1"/>
      <c r="D86" s="1"/>
      <c r="E86" s="6" t="s">
        <v>177</v>
      </c>
      <c r="F86" s="170" t="s">
        <v>178</v>
      </c>
      <c r="G86" s="171" t="s">
        <v>179</v>
      </c>
      <c r="H86" s="170" t="s">
        <v>180</v>
      </c>
      <c r="I86" s="172" t="s">
        <v>181</v>
      </c>
      <c r="J86" s="173" t="s">
        <v>182</v>
      </c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5"/>
      <c r="B87" s="1"/>
      <c r="C87" s="1"/>
      <c r="D87" s="1"/>
      <c r="E87" s="174">
        <v>1</v>
      </c>
      <c r="F87" s="175" t="s">
        <v>183</v>
      </c>
      <c r="G87" s="176">
        <f>991.525/1000</f>
        <v>0.99152499999999999</v>
      </c>
      <c r="H87" s="84" t="s">
        <v>184</v>
      </c>
      <c r="I87" s="177">
        <v>81</v>
      </c>
      <c r="J87" s="178">
        <f t="shared" ref="J87:J91" si="16">$F$218*I87*G87</f>
        <v>231765557.90399998</v>
      </c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5"/>
      <c r="B88" s="1"/>
      <c r="C88" s="1"/>
      <c r="D88" s="1"/>
      <c r="E88" s="180">
        <v>2</v>
      </c>
      <c r="F88" s="181" t="s">
        <v>186</v>
      </c>
      <c r="G88" s="182">
        <v>8.4375000000000006E-2</v>
      </c>
      <c r="H88" s="61" t="s">
        <v>184</v>
      </c>
      <c r="I88" s="183">
        <v>11</v>
      </c>
      <c r="J88" s="178">
        <f t="shared" si="16"/>
        <v>2678346</v>
      </c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5"/>
      <c r="B89" s="1"/>
      <c r="C89" s="1"/>
      <c r="D89" s="1"/>
      <c r="E89" s="180">
        <v>3</v>
      </c>
      <c r="F89" s="181" t="s">
        <v>188</v>
      </c>
      <c r="G89" s="188">
        <v>1.25E-4</v>
      </c>
      <c r="H89" s="61" t="s">
        <v>184</v>
      </c>
      <c r="I89" s="183">
        <v>13.33</v>
      </c>
      <c r="J89" s="178">
        <f t="shared" si="16"/>
        <v>4808.3975999999993</v>
      </c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5"/>
      <c r="B90" s="1"/>
      <c r="C90" s="1"/>
      <c r="D90" s="1"/>
      <c r="E90" s="180">
        <v>4</v>
      </c>
      <c r="F90" s="181" t="s">
        <v>190</v>
      </c>
      <c r="G90" s="188">
        <v>1.25E-4</v>
      </c>
      <c r="H90" s="61" t="s">
        <v>184</v>
      </c>
      <c r="I90" s="183">
        <v>13.33</v>
      </c>
      <c r="J90" s="178">
        <f t="shared" si="16"/>
        <v>4808.3975999999993</v>
      </c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5"/>
      <c r="B91" s="1"/>
      <c r="C91" s="1"/>
      <c r="D91" s="1"/>
      <c r="E91" s="180">
        <v>5</v>
      </c>
      <c r="F91" s="181" t="s">
        <v>191</v>
      </c>
      <c r="G91" s="188">
        <v>1.25E-4</v>
      </c>
      <c r="H91" s="61" t="s">
        <v>184</v>
      </c>
      <c r="I91" s="183">
        <v>13.33</v>
      </c>
      <c r="J91" s="178">
        <f t="shared" si="16"/>
        <v>4808.3975999999993</v>
      </c>
      <c r="K91" s="1"/>
      <c r="L91" s="1"/>
      <c r="M91" s="1"/>
      <c r="N91" s="1"/>
      <c r="O91" s="1"/>
      <c r="P91" s="1"/>
      <c r="Q91" s="1"/>
      <c r="R91" s="1"/>
    </row>
    <row r="92" spans="1:18" ht="13.5" customHeight="1">
      <c r="A92" s="5"/>
      <c r="B92" s="1"/>
      <c r="C92" s="1"/>
      <c r="D92" s="1"/>
      <c r="E92" s="169"/>
      <c r="F92" s="185"/>
      <c r="G92" s="69"/>
      <c r="H92" s="69"/>
      <c r="I92" s="186" t="s">
        <v>192</v>
      </c>
      <c r="J92" s="187">
        <f>SUM(J87:J91)</f>
        <v>234458329.09679997</v>
      </c>
      <c r="K92" s="189"/>
      <c r="L92" s="1"/>
      <c r="M92" s="1"/>
      <c r="N92" s="1"/>
      <c r="O92" s="1"/>
      <c r="P92" s="1"/>
      <c r="Q92" s="1"/>
      <c r="R92" s="1"/>
    </row>
    <row r="93" spans="1:18" ht="12.75" customHeight="1">
      <c r="A93" s="5"/>
      <c r="B93" s="1"/>
      <c r="C93" s="166"/>
      <c r="D93" s="1"/>
      <c r="E93" s="1"/>
      <c r="F93" s="166" t="s">
        <v>194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3.5" customHeight="1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39" customHeight="1">
      <c r="A95" s="190"/>
      <c r="B95" s="191"/>
      <c r="C95" s="191"/>
      <c r="D95" s="191"/>
      <c r="E95" s="192" t="s">
        <v>20</v>
      </c>
      <c r="F95" s="193" t="s">
        <v>195</v>
      </c>
      <c r="G95" s="194" t="s">
        <v>196</v>
      </c>
      <c r="H95" s="194" t="s">
        <v>197</v>
      </c>
      <c r="I95" s="195" t="s">
        <v>198</v>
      </c>
      <c r="J95" s="196" t="s">
        <v>199</v>
      </c>
      <c r="K95" s="191"/>
      <c r="L95" s="191"/>
      <c r="M95" s="191"/>
      <c r="N95" s="191"/>
      <c r="O95" s="191"/>
      <c r="P95" s="191"/>
      <c r="Q95" s="191"/>
      <c r="R95" s="191"/>
    </row>
    <row r="96" spans="1:18" ht="13.5" customHeight="1">
      <c r="A96" s="5"/>
      <c r="B96" s="1"/>
      <c r="C96" s="1"/>
      <c r="D96" s="1"/>
      <c r="E96" s="197">
        <v>12</v>
      </c>
      <c r="F96" s="198">
        <v>100</v>
      </c>
      <c r="G96" s="199">
        <f>+E96*F96*G101*G102</f>
        <v>2304000</v>
      </c>
      <c r="H96" s="199">
        <f>+$G$96*0.23</f>
        <v>529920</v>
      </c>
      <c r="I96" s="200">
        <f>+$G$96*0.25</f>
        <v>576000</v>
      </c>
      <c r="J96" s="201">
        <f>+SUM(G96:I96)</f>
        <v>3409920</v>
      </c>
      <c r="K96" s="168" t="s">
        <v>110</v>
      </c>
      <c r="L96" s="202"/>
      <c r="M96" s="1"/>
      <c r="N96" s="1"/>
      <c r="O96" s="1"/>
      <c r="P96" s="1"/>
      <c r="Q96" s="1"/>
      <c r="R96" s="1"/>
    </row>
    <row r="97" spans="1:18" ht="13.5" customHeight="1">
      <c r="A97" s="5"/>
      <c r="B97" s="1"/>
      <c r="C97" s="1"/>
      <c r="D97" s="1"/>
      <c r="E97" s="1"/>
      <c r="F97" s="1"/>
      <c r="G97" s="1"/>
      <c r="H97" s="1"/>
      <c r="I97" s="1"/>
      <c r="J97" s="203">
        <f>+J96*K101</f>
        <v>3143520</v>
      </c>
      <c r="K97" s="168" t="s">
        <v>72</v>
      </c>
      <c r="L97" s="1"/>
      <c r="M97" s="1"/>
      <c r="N97" s="1"/>
      <c r="O97" s="1"/>
      <c r="P97" s="1"/>
      <c r="Q97" s="1"/>
      <c r="R97" s="1"/>
    </row>
    <row r="98" spans="1:18" ht="12.75" customHeight="1">
      <c r="A98" s="5"/>
      <c r="B98" s="1"/>
      <c r="C98" s="1"/>
      <c r="D98" s="1"/>
      <c r="E98" s="917"/>
      <c r="F98" s="907"/>
      <c r="G98" s="907"/>
      <c r="H98" s="907"/>
      <c r="I98" s="907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5"/>
      <c r="B99" s="1"/>
      <c r="C99" s="1"/>
      <c r="D99" s="1"/>
      <c r="E99" s="148"/>
      <c r="F99" s="148"/>
      <c r="G99" s="148"/>
      <c r="H99" s="148"/>
      <c r="I99" s="148"/>
      <c r="J99" s="77"/>
      <c r="K99" s="1"/>
      <c r="L99" s="1"/>
      <c r="M99" s="1"/>
      <c r="N99" s="1"/>
      <c r="O99" s="1"/>
      <c r="P99" s="1"/>
      <c r="Q99" s="1"/>
      <c r="R99" s="1"/>
    </row>
    <row r="100" spans="1:18" ht="13.5" customHeight="1">
      <c r="A100" s="5"/>
      <c r="B100" s="1"/>
      <c r="C100" s="1"/>
      <c r="D100" s="1"/>
      <c r="E100" s="1"/>
      <c r="F100" s="20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3.5" customHeight="1">
      <c r="A101" s="5"/>
      <c r="B101" s="1"/>
      <c r="C101" s="1"/>
      <c r="D101" s="1"/>
      <c r="E101" s="1"/>
      <c r="F101" s="205" t="s">
        <v>200</v>
      </c>
      <c r="G101" s="206">
        <v>240</v>
      </c>
      <c r="H101" s="1"/>
      <c r="I101" s="207" t="s">
        <v>201</v>
      </c>
      <c r="J101" s="208">
        <f>+G102*45*5</f>
        <v>1800</v>
      </c>
      <c r="K101" s="209">
        <f>+(J102-J101)/J102</f>
        <v>0.921875</v>
      </c>
      <c r="L101" s="1"/>
      <c r="M101" s="1"/>
      <c r="N101" s="1"/>
      <c r="O101" s="1"/>
      <c r="P101" s="1"/>
      <c r="Q101" s="1"/>
      <c r="R101" s="1"/>
    </row>
    <row r="102" spans="1:18" ht="12.75" customHeight="1">
      <c r="A102" s="5"/>
      <c r="B102" s="1"/>
      <c r="C102" s="1"/>
      <c r="D102" s="1"/>
      <c r="E102" s="1"/>
      <c r="F102" s="205" t="s">
        <v>202</v>
      </c>
      <c r="G102" s="205">
        <v>8</v>
      </c>
      <c r="H102" s="1"/>
      <c r="I102" s="207" t="s">
        <v>203</v>
      </c>
      <c r="J102" s="57">
        <f>+E96*G101*G102</f>
        <v>23040</v>
      </c>
      <c r="K102" s="1"/>
      <c r="L102" s="1"/>
      <c r="M102" s="1"/>
      <c r="N102" s="1"/>
      <c r="O102" s="1"/>
      <c r="P102" s="1"/>
      <c r="Q102" s="1"/>
      <c r="R102" s="1"/>
    </row>
    <row r="103" spans="1:18" ht="12.75" customHeight="1">
      <c r="A103" s="5"/>
      <c r="B103" s="1"/>
      <c r="C103" s="1"/>
      <c r="D103" s="1"/>
      <c r="E103" s="1"/>
      <c r="F103" s="16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>
      <c r="A104" s="5"/>
      <c r="B104" s="1"/>
      <c r="C104" s="166"/>
      <c r="D104" s="1"/>
      <c r="E104" s="1"/>
      <c r="F104" s="167" t="s">
        <v>204</v>
      </c>
      <c r="G104" s="14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3.5" customHeight="1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39" customHeight="1">
      <c r="A106" s="210"/>
      <c r="B106" s="211"/>
      <c r="C106" s="211"/>
      <c r="D106" s="211"/>
      <c r="E106" s="212" t="s">
        <v>20</v>
      </c>
      <c r="F106" s="213" t="s">
        <v>205</v>
      </c>
      <c r="G106" s="213" t="s">
        <v>206</v>
      </c>
      <c r="H106" s="194" t="s">
        <v>197</v>
      </c>
      <c r="I106" s="195" t="s">
        <v>198</v>
      </c>
      <c r="J106" s="214" t="s">
        <v>207</v>
      </c>
      <c r="K106" s="196" t="s">
        <v>199</v>
      </c>
      <c r="L106" s="211"/>
      <c r="M106" s="211"/>
      <c r="N106" s="211"/>
      <c r="O106" s="211"/>
      <c r="P106" s="211"/>
      <c r="Q106" s="211"/>
      <c r="R106" s="211"/>
    </row>
    <row r="107" spans="1:18">
      <c r="A107" s="5"/>
      <c r="B107" s="1"/>
      <c r="C107" s="1"/>
      <c r="D107" s="1"/>
      <c r="E107" s="215">
        <v>1</v>
      </c>
      <c r="F107" s="216" t="s">
        <v>208</v>
      </c>
      <c r="G107" s="217">
        <v>35000</v>
      </c>
      <c r="H107" s="217">
        <f t="shared" ref="H107:H109" si="17">+$G107*0.23</f>
        <v>8050</v>
      </c>
      <c r="I107" s="217">
        <f t="shared" ref="I107:I109" si="18">+$G107*0.25</f>
        <v>8750</v>
      </c>
      <c r="J107" s="217">
        <f t="shared" ref="J107:J109" si="19">+SUM(G107:I107)</f>
        <v>51800</v>
      </c>
      <c r="K107" s="217">
        <f t="shared" ref="K107:K109" si="20">+J107*12</f>
        <v>621600</v>
      </c>
      <c r="L107" s="1"/>
      <c r="M107" s="1"/>
      <c r="N107" s="1"/>
      <c r="O107" s="1"/>
      <c r="P107" s="1"/>
      <c r="Q107" s="1"/>
      <c r="R107" s="1"/>
    </row>
    <row r="108" spans="1:18">
      <c r="A108" s="5"/>
      <c r="B108" s="1"/>
      <c r="C108" s="1"/>
      <c r="D108" s="1"/>
      <c r="E108" s="218">
        <v>2</v>
      </c>
      <c r="F108" s="219" t="s">
        <v>209</v>
      </c>
      <c r="G108" s="220">
        <v>18000</v>
      </c>
      <c r="H108" s="221">
        <f t="shared" si="17"/>
        <v>4140</v>
      </c>
      <c r="I108" s="221">
        <f t="shared" si="18"/>
        <v>4500</v>
      </c>
      <c r="J108" s="221">
        <f t="shared" si="19"/>
        <v>26640</v>
      </c>
      <c r="K108" s="221">
        <f t="shared" si="20"/>
        <v>319680</v>
      </c>
      <c r="L108" s="1"/>
      <c r="M108" s="1"/>
      <c r="N108" s="1"/>
      <c r="O108" s="1"/>
      <c r="P108" s="1"/>
      <c r="Q108" s="1"/>
      <c r="R108" s="1"/>
    </row>
    <row r="109" spans="1:18" ht="15.75" customHeight="1">
      <c r="A109" s="5"/>
      <c r="B109" s="1"/>
      <c r="C109" s="1"/>
      <c r="D109" s="1"/>
      <c r="E109" s="222">
        <v>3</v>
      </c>
      <c r="F109" s="223" t="s">
        <v>210</v>
      </c>
      <c r="G109" s="224">
        <v>25000</v>
      </c>
      <c r="H109" s="225">
        <f t="shared" si="17"/>
        <v>5750</v>
      </c>
      <c r="I109" s="225">
        <f t="shared" si="18"/>
        <v>6250</v>
      </c>
      <c r="J109" s="225">
        <f t="shared" si="19"/>
        <v>37000</v>
      </c>
      <c r="K109" s="225">
        <f t="shared" si="20"/>
        <v>444000</v>
      </c>
      <c r="L109" s="1"/>
      <c r="M109" s="1"/>
      <c r="N109" s="1"/>
      <c r="O109" s="1"/>
      <c r="P109" s="1"/>
      <c r="Q109" s="1"/>
      <c r="R109" s="1"/>
    </row>
    <row r="110" spans="1:18" ht="13.5" customHeight="1">
      <c r="A110" s="5"/>
      <c r="B110" s="1"/>
      <c r="C110" s="1"/>
      <c r="D110" s="1"/>
      <c r="E110" s="1"/>
      <c r="F110" s="1"/>
      <c r="G110" s="1"/>
      <c r="H110" s="1"/>
      <c r="I110" s="226" t="s">
        <v>211</v>
      </c>
      <c r="J110" s="227">
        <f t="shared" ref="J110:K110" si="21">+SUM(J107:J109)</f>
        <v>115440</v>
      </c>
      <c r="K110" s="228">
        <f t="shared" si="21"/>
        <v>1385280</v>
      </c>
      <c r="L110" s="168" t="s">
        <v>110</v>
      </c>
      <c r="M110" s="1"/>
      <c r="N110" s="1"/>
      <c r="O110" s="1"/>
      <c r="P110" s="1"/>
      <c r="Q110" s="1"/>
      <c r="R110" s="1"/>
    </row>
    <row r="111" spans="1:18" ht="13.5" customHeight="1">
      <c r="A111" s="5"/>
      <c r="B111" s="1"/>
      <c r="C111" s="1"/>
      <c r="D111" s="1"/>
      <c r="E111" s="918"/>
      <c r="F111" s="907"/>
      <c r="G111" s="907"/>
      <c r="H111" s="907"/>
      <c r="I111" s="907"/>
      <c r="J111" s="1"/>
      <c r="K111" s="227">
        <f>+K110*K101</f>
        <v>1277055</v>
      </c>
      <c r="L111" s="168" t="s">
        <v>72</v>
      </c>
      <c r="M111" s="1"/>
      <c r="N111" s="1"/>
      <c r="O111" s="1"/>
      <c r="P111" s="1"/>
      <c r="Q111" s="1"/>
      <c r="R111" s="1"/>
    </row>
    <row r="112" spans="1:18" ht="13.5" customHeight="1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229"/>
      <c r="L112" s="168"/>
      <c r="M112" s="1"/>
      <c r="N112" s="1"/>
      <c r="O112" s="1"/>
      <c r="P112" s="1"/>
      <c r="Q112" s="1"/>
      <c r="R112" s="1"/>
    </row>
    <row r="113" spans="1:18" ht="12.75" customHeight="1">
      <c r="A113" s="5"/>
      <c r="B113" s="1"/>
      <c r="C113" s="1"/>
      <c r="D113" s="1"/>
      <c r="E113" s="230" t="s">
        <v>212</v>
      </c>
      <c r="F113" s="231" t="s">
        <v>72</v>
      </c>
      <c r="G113" s="231" t="s">
        <v>213</v>
      </c>
      <c r="H113" s="232" t="s">
        <v>214</v>
      </c>
      <c r="I113" s="1"/>
      <c r="J113" s="1"/>
      <c r="K113" s="229"/>
      <c r="L113" s="168"/>
      <c r="M113" s="1"/>
      <c r="N113" s="1"/>
      <c r="O113" s="1"/>
      <c r="P113" s="1"/>
      <c r="Q113" s="1"/>
      <c r="R113" s="1"/>
    </row>
    <row r="114" spans="1:18" ht="12.75" customHeight="1">
      <c r="A114" s="5"/>
      <c r="B114" s="1"/>
      <c r="C114" s="1"/>
      <c r="D114" s="1"/>
      <c r="E114" s="233" t="s">
        <v>215</v>
      </c>
      <c r="F114" s="234">
        <f>+K111/$F$214</f>
        <v>0.66826530612244894</v>
      </c>
      <c r="G114" s="234">
        <f t="shared" ref="G114:H114" si="22">$K$110/$F$217</f>
        <v>0.61445109780439122</v>
      </c>
      <c r="H114" s="234">
        <f t="shared" si="22"/>
        <v>0.61445109780439122</v>
      </c>
      <c r="I114" s="1"/>
      <c r="J114" s="1"/>
      <c r="K114" s="229"/>
      <c r="L114" s="168"/>
      <c r="M114" s="1"/>
      <c r="N114" s="1"/>
      <c r="O114" s="1"/>
      <c r="P114" s="1"/>
      <c r="Q114" s="1"/>
      <c r="R114" s="1"/>
    </row>
    <row r="115" spans="1:18" ht="13.5" customHeight="1">
      <c r="A115" s="5"/>
      <c r="B115" s="1"/>
      <c r="C115" s="1"/>
      <c r="D115" s="1"/>
      <c r="E115" s="235" t="s">
        <v>216</v>
      </c>
      <c r="F115" s="236">
        <f>$F$235*F114/2</f>
        <v>2218.849649234694</v>
      </c>
      <c r="G115" s="236">
        <f t="shared" ref="G115:H115" si="23">+$F$235*G114/2</f>
        <v>2040.1696606786427</v>
      </c>
      <c r="H115" s="237">
        <f t="shared" si="23"/>
        <v>2040.1696606786427</v>
      </c>
      <c r="I115" s="1"/>
      <c r="J115" s="1"/>
      <c r="K115" s="229"/>
      <c r="L115" s="168"/>
      <c r="M115" s="1"/>
      <c r="N115" s="1"/>
      <c r="O115" s="1"/>
      <c r="P115" s="1"/>
      <c r="Q115" s="1"/>
      <c r="R115" s="1"/>
    </row>
    <row r="116" spans="1:18" ht="12.75" customHeight="1">
      <c r="A116" s="5"/>
      <c r="B116" s="1"/>
      <c r="C116" s="1"/>
      <c r="D116" s="1"/>
      <c r="E116" s="168"/>
      <c r="F116" s="238"/>
      <c r="G116" s="238"/>
      <c r="H116" s="238"/>
      <c r="I116" s="1"/>
      <c r="J116" s="1"/>
      <c r="K116" s="229"/>
      <c r="L116" s="168"/>
      <c r="M116" s="1"/>
      <c r="N116" s="1"/>
      <c r="O116" s="1"/>
      <c r="P116" s="1"/>
      <c r="Q116" s="1"/>
      <c r="R116" s="1"/>
    </row>
    <row r="117" spans="1:18" ht="12.75" customHeight="1">
      <c r="A117" s="5"/>
      <c r="B117" s="1"/>
      <c r="C117" s="1"/>
      <c r="D117" s="166"/>
      <c r="E117" s="168"/>
      <c r="F117" s="166" t="s">
        <v>217</v>
      </c>
      <c r="G117" s="238"/>
      <c r="H117" s="238"/>
      <c r="I117" s="1"/>
      <c r="J117" s="1"/>
      <c r="K117" s="229"/>
      <c r="L117" s="168"/>
      <c r="M117" s="1"/>
      <c r="N117" s="1"/>
      <c r="O117" s="1"/>
      <c r="P117" s="1"/>
      <c r="Q117" s="1"/>
      <c r="R117" s="1"/>
    </row>
    <row r="118" spans="1:18" ht="13.5" customHeight="1">
      <c r="A118" s="5"/>
      <c r="B118" s="1"/>
      <c r="C118" s="1"/>
      <c r="D118" s="1"/>
      <c r="E118" s="168"/>
      <c r="F118" s="238"/>
      <c r="G118" s="238"/>
      <c r="H118" s="238"/>
      <c r="I118" s="1"/>
      <c r="J118" s="1"/>
      <c r="K118" s="229"/>
      <c r="L118" s="168"/>
      <c r="M118" s="1"/>
      <c r="N118" s="1"/>
      <c r="O118" s="1"/>
      <c r="P118" s="1"/>
      <c r="Q118" s="1"/>
      <c r="R118" s="1"/>
    </row>
    <row r="119" spans="1:18" ht="39" customHeight="1">
      <c r="A119" s="5"/>
      <c r="B119" s="1"/>
      <c r="C119" s="1"/>
      <c r="D119" s="1"/>
      <c r="E119" s="212" t="s">
        <v>20</v>
      </c>
      <c r="F119" s="213" t="s">
        <v>205</v>
      </c>
      <c r="G119" s="213" t="s">
        <v>206</v>
      </c>
      <c r="H119" s="194" t="s">
        <v>197</v>
      </c>
      <c r="I119" s="195" t="s">
        <v>198</v>
      </c>
      <c r="J119" s="214" t="s">
        <v>207</v>
      </c>
      <c r="K119" s="196" t="s">
        <v>199</v>
      </c>
      <c r="L119" s="211"/>
      <c r="M119" s="1"/>
      <c r="N119" s="1"/>
      <c r="O119" s="1"/>
      <c r="P119" s="1"/>
      <c r="Q119" s="1"/>
      <c r="R119" s="1"/>
    </row>
    <row r="120" spans="1:18">
      <c r="A120" s="5"/>
      <c r="B120" s="1"/>
      <c r="C120" s="1"/>
      <c r="D120" s="1"/>
      <c r="E120" s="215">
        <v>1</v>
      </c>
      <c r="F120" s="239" t="s">
        <v>218</v>
      </c>
      <c r="G120" s="240">
        <v>40000</v>
      </c>
      <c r="H120" s="217">
        <f t="shared" ref="H120:H123" si="24">+$G120*0.23</f>
        <v>9200</v>
      </c>
      <c r="I120" s="217">
        <f t="shared" ref="I120:I123" si="25">+$G120*0.25</f>
        <v>10000</v>
      </c>
      <c r="J120" s="217">
        <f t="shared" ref="J120:J123" si="26">+SUM(G120:I120)</f>
        <v>59200</v>
      </c>
      <c r="K120" s="217">
        <f t="shared" ref="K120:K123" si="27">+J120*12</f>
        <v>710400</v>
      </c>
      <c r="L120" s="1"/>
      <c r="M120" s="1"/>
      <c r="N120" s="1"/>
      <c r="O120" s="1"/>
      <c r="P120" s="1"/>
      <c r="Q120" s="1"/>
      <c r="R120" s="1"/>
    </row>
    <row r="121" spans="1:18">
      <c r="A121" s="5"/>
      <c r="B121" s="1"/>
      <c r="C121" s="1"/>
      <c r="D121" s="1"/>
      <c r="E121" s="241">
        <v>2</v>
      </c>
      <c r="F121" s="219" t="s">
        <v>219</v>
      </c>
      <c r="G121" s="221">
        <v>30000</v>
      </c>
      <c r="H121" s="221">
        <f t="shared" si="24"/>
        <v>6900</v>
      </c>
      <c r="I121" s="221">
        <f t="shared" si="25"/>
        <v>7500</v>
      </c>
      <c r="J121" s="221">
        <f t="shared" si="26"/>
        <v>44400</v>
      </c>
      <c r="K121" s="221">
        <f t="shared" si="27"/>
        <v>532800</v>
      </c>
      <c r="L121" s="1"/>
      <c r="M121" s="1"/>
      <c r="N121" s="1"/>
      <c r="O121" s="1"/>
      <c r="P121" s="1"/>
      <c r="Q121" s="1"/>
      <c r="R121" s="1"/>
    </row>
    <row r="122" spans="1:18">
      <c r="A122" s="5"/>
      <c r="B122" s="1"/>
      <c r="C122" s="1"/>
      <c r="D122" s="1"/>
      <c r="E122" s="242">
        <v>3</v>
      </c>
      <c r="F122" s="243" t="s">
        <v>220</v>
      </c>
      <c r="G122" s="244">
        <v>20000</v>
      </c>
      <c r="H122" s="221">
        <f t="shared" si="24"/>
        <v>4600</v>
      </c>
      <c r="I122" s="221">
        <f t="shared" si="25"/>
        <v>5000</v>
      </c>
      <c r="J122" s="221">
        <f t="shared" si="26"/>
        <v>29600</v>
      </c>
      <c r="K122" s="221">
        <f t="shared" si="27"/>
        <v>355200</v>
      </c>
      <c r="L122" s="1"/>
      <c r="M122" s="1"/>
      <c r="N122" s="1"/>
      <c r="O122" s="1"/>
      <c r="P122" s="1"/>
      <c r="Q122" s="1"/>
      <c r="R122" s="1"/>
    </row>
    <row r="123" spans="1:18" ht="15.75" customHeight="1">
      <c r="A123" s="5"/>
      <c r="B123" s="1"/>
      <c r="C123" s="1"/>
      <c r="D123" s="1"/>
      <c r="E123" s="241">
        <v>4</v>
      </c>
      <c r="F123" s="219" t="s">
        <v>221</v>
      </c>
      <c r="G123" s="220">
        <v>25000</v>
      </c>
      <c r="H123" s="221">
        <f t="shared" si="24"/>
        <v>5750</v>
      </c>
      <c r="I123" s="221">
        <f t="shared" si="25"/>
        <v>6250</v>
      </c>
      <c r="J123" s="221">
        <f t="shared" si="26"/>
        <v>37000</v>
      </c>
      <c r="K123" s="221">
        <f t="shared" si="27"/>
        <v>444000</v>
      </c>
      <c r="L123" s="1"/>
      <c r="M123" s="1"/>
      <c r="N123" s="1"/>
      <c r="O123" s="1"/>
      <c r="P123" s="1"/>
      <c r="Q123" s="1"/>
      <c r="R123" s="1"/>
    </row>
    <row r="124" spans="1:18" ht="13.5" customHeight="1">
      <c r="A124" s="5"/>
      <c r="B124" s="1"/>
      <c r="C124" s="1"/>
      <c r="D124" s="1"/>
      <c r="E124" s="1"/>
      <c r="F124" s="1"/>
      <c r="G124" s="1"/>
      <c r="H124" s="1"/>
      <c r="I124" s="226" t="s">
        <v>211</v>
      </c>
      <c r="J124" s="227">
        <f t="shared" ref="J124:K124" si="28">+SUM(J120:J123)</f>
        <v>170200</v>
      </c>
      <c r="K124" s="228">
        <f t="shared" si="28"/>
        <v>2042400</v>
      </c>
      <c r="L124" s="168" t="s">
        <v>110</v>
      </c>
      <c r="M124" s="1"/>
      <c r="N124" s="1"/>
      <c r="O124" s="1"/>
      <c r="P124" s="1"/>
      <c r="Q124" s="1"/>
      <c r="R124" s="1"/>
    </row>
    <row r="125" spans="1:18" ht="13.5" customHeight="1">
      <c r="A125" s="5"/>
      <c r="B125" s="1"/>
      <c r="C125" s="1"/>
      <c r="D125" s="1"/>
      <c r="E125" s="918"/>
      <c r="F125" s="907"/>
      <c r="G125" s="907"/>
      <c r="H125" s="907"/>
      <c r="I125" s="907"/>
      <c r="J125" s="1"/>
      <c r="K125" s="227">
        <f>+K124*K101</f>
        <v>1882837.5</v>
      </c>
      <c r="L125" s="168" t="s">
        <v>72</v>
      </c>
      <c r="M125" s="1"/>
      <c r="N125" s="1"/>
      <c r="O125" s="1"/>
      <c r="P125" s="1"/>
      <c r="Q125" s="1"/>
      <c r="R125" s="1"/>
    </row>
    <row r="126" spans="1:18" ht="12.75" customHeight="1">
      <c r="A126" s="5"/>
      <c r="B126" s="1"/>
      <c r="C126" s="1"/>
      <c r="D126" s="1"/>
      <c r="E126" s="168"/>
      <c r="F126" s="238"/>
      <c r="G126" s="238"/>
      <c r="H126" s="238"/>
      <c r="I126" s="1"/>
      <c r="J126" s="1"/>
      <c r="K126" s="229"/>
      <c r="L126" s="168"/>
      <c r="M126" s="1"/>
      <c r="N126" s="1"/>
      <c r="O126" s="1"/>
      <c r="P126" s="1"/>
      <c r="Q126" s="1"/>
      <c r="R126" s="1"/>
    </row>
    <row r="127" spans="1:18" ht="12.75" customHeight="1">
      <c r="A127" s="5"/>
      <c r="B127" s="1"/>
      <c r="C127" s="167" t="s">
        <v>222</v>
      </c>
      <c r="D127" s="245"/>
      <c r="F127" s="238"/>
      <c r="G127" s="238"/>
      <c r="H127" s="238"/>
      <c r="I127" s="1"/>
      <c r="J127" s="1"/>
      <c r="K127" s="229"/>
      <c r="L127" s="168"/>
      <c r="M127" s="1"/>
      <c r="N127" s="1"/>
      <c r="O127" s="1"/>
      <c r="P127" s="1"/>
      <c r="Q127" s="1"/>
      <c r="R127" s="1"/>
    </row>
    <row r="128" spans="1:18" ht="13.5" customHeight="1">
      <c r="A128" s="5"/>
      <c r="B128" s="1"/>
      <c r="C128" s="1"/>
      <c r="D128" s="166"/>
      <c r="E128" s="168"/>
      <c r="F128" s="238"/>
      <c r="G128" s="238"/>
      <c r="H128" s="238"/>
      <c r="I128" s="1"/>
      <c r="J128" s="1"/>
      <c r="K128" s="229"/>
      <c r="L128" s="168"/>
      <c r="M128" s="1"/>
      <c r="N128" s="1"/>
      <c r="O128" s="1"/>
      <c r="P128" s="1"/>
      <c r="Q128" s="1"/>
      <c r="R128" s="1"/>
    </row>
    <row r="129" spans="1:18" ht="39" customHeight="1">
      <c r="A129" s="5"/>
      <c r="B129" s="1"/>
      <c r="C129" s="1"/>
      <c r="D129" s="166"/>
      <c r="E129" s="212" t="s">
        <v>20</v>
      </c>
      <c r="F129" s="213" t="s">
        <v>205</v>
      </c>
      <c r="G129" s="213" t="s">
        <v>206</v>
      </c>
      <c r="H129" s="194" t="s">
        <v>197</v>
      </c>
      <c r="I129" s="195" t="s">
        <v>198</v>
      </c>
      <c r="J129" s="214" t="s">
        <v>207</v>
      </c>
      <c r="K129" s="196" t="s">
        <v>199</v>
      </c>
      <c r="L129" s="211"/>
      <c r="M129" s="1"/>
      <c r="N129" s="1"/>
      <c r="O129" s="1"/>
      <c r="P129" s="1"/>
      <c r="Q129" s="1"/>
      <c r="R129" s="1"/>
    </row>
    <row r="130" spans="1:18">
      <c r="A130" s="5"/>
      <c r="B130" s="1"/>
      <c r="C130" s="1"/>
      <c r="D130" s="166"/>
      <c r="E130" s="246">
        <v>1</v>
      </c>
      <c r="F130" s="223" t="s">
        <v>223</v>
      </c>
      <c r="G130" s="224">
        <v>20000</v>
      </c>
      <c r="H130" s="225">
        <f t="shared" ref="H130:H132" si="29">+$G130*0.23</f>
        <v>4600</v>
      </c>
      <c r="I130" s="221">
        <f t="shared" ref="I130:I132" si="30">+$G130*0.25</f>
        <v>5000</v>
      </c>
      <c r="J130" s="221">
        <f t="shared" ref="J130:J132" si="31">+SUM(G130:I130)</f>
        <v>29600</v>
      </c>
      <c r="K130" s="221">
        <f t="shared" ref="K130:K132" si="32">+J130*12</f>
        <v>355200</v>
      </c>
      <c r="L130" s="1"/>
      <c r="M130" s="1"/>
      <c r="N130" s="1"/>
      <c r="O130" s="1"/>
      <c r="P130" s="1"/>
      <c r="Q130" s="1"/>
      <c r="R130" s="1"/>
    </row>
    <row r="131" spans="1:18">
      <c r="A131" s="5"/>
      <c r="B131" s="1"/>
      <c r="C131" s="1"/>
      <c r="D131" s="166"/>
      <c r="E131" s="242">
        <v>2</v>
      </c>
      <c r="F131" s="247" t="s">
        <v>224</v>
      </c>
      <c r="G131" s="244">
        <v>20000</v>
      </c>
      <c r="H131" s="221">
        <f t="shared" si="29"/>
        <v>4600</v>
      </c>
      <c r="I131" s="221">
        <f t="shared" si="30"/>
        <v>5000</v>
      </c>
      <c r="J131" s="221">
        <f t="shared" si="31"/>
        <v>29600</v>
      </c>
      <c r="K131" s="221">
        <f t="shared" si="32"/>
        <v>355200</v>
      </c>
      <c r="L131" s="1"/>
      <c r="M131" s="1"/>
      <c r="N131" s="1"/>
      <c r="O131" s="1"/>
      <c r="P131" s="1"/>
      <c r="Q131" s="1"/>
      <c r="R131" s="1"/>
    </row>
    <row r="132" spans="1:18" ht="15.75" customHeight="1">
      <c r="A132" s="5"/>
      <c r="B132" s="1"/>
      <c r="C132" s="1"/>
      <c r="D132" s="166"/>
      <c r="E132" s="246">
        <v>3</v>
      </c>
      <c r="F132" s="248" t="s">
        <v>225</v>
      </c>
      <c r="G132" s="224">
        <v>20000</v>
      </c>
      <c r="H132" s="225">
        <f t="shared" si="29"/>
        <v>4600</v>
      </c>
      <c r="I132" s="225">
        <f t="shared" si="30"/>
        <v>5000</v>
      </c>
      <c r="J132" s="225">
        <f t="shared" si="31"/>
        <v>29600</v>
      </c>
      <c r="K132" s="225">
        <f t="shared" si="32"/>
        <v>355200</v>
      </c>
      <c r="L132" s="1"/>
      <c r="M132" s="1"/>
      <c r="N132" s="1"/>
      <c r="O132" s="1"/>
      <c r="P132" s="1"/>
      <c r="Q132" s="1"/>
      <c r="R132" s="1"/>
    </row>
    <row r="133" spans="1:18" ht="13.5" customHeight="1">
      <c r="A133" s="5"/>
      <c r="B133" s="1"/>
      <c r="C133" s="1"/>
      <c r="D133" s="1"/>
      <c r="E133" s="1"/>
      <c r="F133" s="1"/>
      <c r="G133" s="1"/>
      <c r="H133" s="1"/>
      <c r="I133" s="226" t="s">
        <v>211</v>
      </c>
      <c r="J133" s="227">
        <f t="shared" ref="J133:K133" si="33">+SUM(J130:J132)</f>
        <v>88800</v>
      </c>
      <c r="K133" s="228">
        <f t="shared" si="33"/>
        <v>1065600</v>
      </c>
      <c r="L133" s="168" t="s">
        <v>110</v>
      </c>
      <c r="M133" s="1"/>
      <c r="N133" s="1"/>
      <c r="O133" s="1"/>
      <c r="P133" s="1"/>
      <c r="Q133" s="1"/>
      <c r="R133" s="1"/>
    </row>
    <row r="134" spans="1:18" ht="13.5" customHeight="1">
      <c r="A134" s="5"/>
      <c r="B134" s="1"/>
      <c r="C134" s="1"/>
      <c r="D134" s="1"/>
      <c r="E134" s="918"/>
      <c r="F134" s="907"/>
      <c r="G134" s="907"/>
      <c r="H134" s="907"/>
      <c r="I134" s="907"/>
      <c r="J134" s="1"/>
      <c r="K134" s="227">
        <f>+K133*K101</f>
        <v>982350</v>
      </c>
      <c r="L134" s="168" t="s">
        <v>72</v>
      </c>
      <c r="M134" s="1"/>
      <c r="N134" s="1"/>
      <c r="O134" s="1"/>
      <c r="P134" s="1"/>
      <c r="Q134" s="1"/>
      <c r="R134" s="1"/>
    </row>
    <row r="135" spans="1:18" ht="12.75" customHeight="1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>
      <c r="A136" s="5"/>
      <c r="B136" s="1"/>
      <c r="C136" s="167" t="s">
        <v>226</v>
      </c>
      <c r="D136" s="1"/>
      <c r="E136" s="24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3.5" customHeight="1">
      <c r="A137" s="5"/>
      <c r="B137" s="1"/>
      <c r="C137" s="250"/>
      <c r="D137" s="251" t="s">
        <v>227</v>
      </c>
      <c r="E137" s="252"/>
      <c r="F137" s="148"/>
      <c r="G137" s="148"/>
      <c r="H137" s="148"/>
      <c r="I137" s="148"/>
      <c r="J137" s="148"/>
      <c r="K137" s="148"/>
      <c r="L137" s="148"/>
      <c r="M137" s="148"/>
      <c r="N137" s="1"/>
      <c r="O137" s="1"/>
      <c r="P137" s="1"/>
      <c r="Q137" s="1"/>
      <c r="R137" s="1"/>
    </row>
    <row r="138" spans="1:18" ht="13.5" customHeight="1">
      <c r="A138" s="5"/>
      <c r="B138" s="1"/>
      <c r="C138" s="148"/>
      <c r="D138" s="148"/>
      <c r="E138" s="148"/>
      <c r="F138" s="148"/>
      <c r="G138" s="914" t="s">
        <v>228</v>
      </c>
      <c r="H138" s="915"/>
      <c r="I138" s="916"/>
      <c r="J138" s="920" t="s">
        <v>229</v>
      </c>
      <c r="K138" s="915"/>
      <c r="L138" s="916"/>
      <c r="M138" s="148"/>
      <c r="N138" s="1"/>
      <c r="O138" s="1"/>
      <c r="P138" s="1"/>
      <c r="Q138" s="1"/>
      <c r="R138" s="1"/>
    </row>
    <row r="139" spans="1:18" ht="13.5" customHeight="1">
      <c r="A139" s="5"/>
      <c r="B139" s="1"/>
      <c r="C139" s="148"/>
      <c r="D139" s="148"/>
      <c r="E139" s="254" t="s">
        <v>230</v>
      </c>
      <c r="F139" s="164" t="s">
        <v>170</v>
      </c>
      <c r="G139" s="255" t="s">
        <v>72</v>
      </c>
      <c r="H139" s="256" t="s">
        <v>231</v>
      </c>
      <c r="I139" s="257" t="s">
        <v>232</v>
      </c>
      <c r="J139" s="258" t="s">
        <v>72</v>
      </c>
      <c r="K139" s="256" t="s">
        <v>231</v>
      </c>
      <c r="L139" s="257" t="s">
        <v>232</v>
      </c>
      <c r="M139" s="148"/>
      <c r="N139" s="1"/>
      <c r="O139" s="1"/>
      <c r="P139" s="1"/>
      <c r="Q139" s="1"/>
      <c r="R139" s="1"/>
    </row>
    <row r="140" spans="1:18" ht="12.75" customHeight="1">
      <c r="A140" s="5"/>
      <c r="B140" s="1"/>
      <c r="C140" s="148"/>
      <c r="D140" s="148"/>
      <c r="E140" s="259" t="s">
        <v>156</v>
      </c>
      <c r="F140" s="260">
        <v>0.02</v>
      </c>
      <c r="G140" s="261">
        <f>F140*E16</f>
        <v>41911.660000000003</v>
      </c>
      <c r="H140" s="262">
        <f t="shared" ref="H140:I140" si="34">+G140</f>
        <v>41911.660000000003</v>
      </c>
      <c r="I140" s="263">
        <f t="shared" si="34"/>
        <v>41911.660000000003</v>
      </c>
      <c r="J140" s="264">
        <f>+$F140*G140*$K$101</f>
        <v>772.74623125000016</v>
      </c>
      <c r="K140" s="262">
        <f>+$F140*H140</f>
        <v>838.23320000000012</v>
      </c>
      <c r="L140" s="263">
        <f>+$F140*I140*1.05</f>
        <v>880.14486000000022</v>
      </c>
      <c r="M140" s="148"/>
      <c r="N140" s="1"/>
      <c r="O140" s="1"/>
      <c r="P140" s="1"/>
      <c r="Q140" s="1"/>
      <c r="R140" s="1"/>
    </row>
    <row r="141" spans="1:18" ht="12.75" customHeight="1">
      <c r="A141" s="5"/>
      <c r="B141" s="1"/>
      <c r="C141" s="148"/>
      <c r="D141" s="148"/>
      <c r="E141" s="259" t="s">
        <v>227</v>
      </c>
      <c r="F141" s="260">
        <v>0.05</v>
      </c>
      <c r="G141" s="265">
        <f>J83</f>
        <v>203523374.55847871</v>
      </c>
      <c r="H141" s="266">
        <f>J92</f>
        <v>234458329.09679997</v>
      </c>
      <c r="I141" s="266">
        <f>J92</f>
        <v>234458329.09679997</v>
      </c>
      <c r="J141" s="264">
        <f t="shared" ref="J141:L141" si="35">+$F141*G141</f>
        <v>10176168.727923937</v>
      </c>
      <c r="K141" s="262">
        <f t="shared" si="35"/>
        <v>11722916.454839999</v>
      </c>
      <c r="L141" s="263">
        <f t="shared" si="35"/>
        <v>11722916.454839999</v>
      </c>
      <c r="M141" s="148"/>
      <c r="N141" s="1"/>
      <c r="O141" s="1"/>
      <c r="P141" s="1"/>
      <c r="Q141" s="1"/>
      <c r="R141" s="1"/>
    </row>
    <row r="142" spans="1:18" ht="13.5" customHeight="1">
      <c r="A142" s="5"/>
      <c r="B142" s="1"/>
      <c r="C142" s="148"/>
      <c r="D142" s="148"/>
      <c r="E142" s="267" t="s">
        <v>233</v>
      </c>
      <c r="F142" s="268">
        <v>0.03</v>
      </c>
      <c r="G142" s="269">
        <f>+J97</f>
        <v>3143520</v>
      </c>
      <c r="H142" s="270">
        <f>+J96</f>
        <v>3409920</v>
      </c>
      <c r="I142" s="237">
        <f>+H142</f>
        <v>3409920</v>
      </c>
      <c r="J142" s="271">
        <f t="shared" ref="J142:L142" si="36">+$F142*G142</f>
        <v>94305.599999999991</v>
      </c>
      <c r="K142" s="236">
        <f t="shared" si="36"/>
        <v>102297.59999999999</v>
      </c>
      <c r="L142" s="237">
        <f t="shared" si="36"/>
        <v>102297.59999999999</v>
      </c>
      <c r="M142" s="148"/>
      <c r="N142" s="1"/>
      <c r="O142" s="1"/>
      <c r="P142" s="1"/>
      <c r="Q142" s="1"/>
      <c r="R142" s="1"/>
    </row>
    <row r="143" spans="1:18" ht="13.5" customHeight="1">
      <c r="A143" s="5"/>
      <c r="B143" s="1"/>
      <c r="C143" s="148"/>
      <c r="D143" s="148"/>
      <c r="E143" s="148"/>
      <c r="F143" s="148"/>
      <c r="G143" s="148"/>
      <c r="H143" s="921" t="s">
        <v>234</v>
      </c>
      <c r="I143" s="922"/>
      <c r="J143" s="272">
        <f t="shared" ref="J143:L143" si="37">+SUM(J140:J142)</f>
        <v>10271247.074155187</v>
      </c>
      <c r="K143" s="272">
        <f t="shared" si="37"/>
        <v>11826052.288039999</v>
      </c>
      <c r="L143" s="273">
        <f t="shared" si="37"/>
        <v>11826094.199699998</v>
      </c>
      <c r="M143" s="148"/>
      <c r="N143" s="1"/>
      <c r="O143" s="1"/>
      <c r="P143" s="1"/>
      <c r="Q143" s="1"/>
      <c r="R143" s="1"/>
    </row>
    <row r="144" spans="1:18" ht="12.75" customHeight="1">
      <c r="A144" s="5"/>
      <c r="B144" s="1"/>
      <c r="C144" s="148"/>
      <c r="D144" s="148"/>
      <c r="E144" s="148"/>
      <c r="F144" s="148"/>
      <c r="G144" s="148"/>
      <c r="H144" s="274"/>
      <c r="I144" s="274"/>
      <c r="J144" s="275"/>
      <c r="K144" s="275"/>
      <c r="L144" s="275"/>
      <c r="M144" s="148"/>
      <c r="N144" s="1"/>
      <c r="O144" s="1"/>
      <c r="P144" s="1"/>
      <c r="Q144" s="1"/>
      <c r="R144" s="1"/>
    </row>
    <row r="145" spans="1:18" ht="12.75" customHeight="1">
      <c r="A145" s="5"/>
      <c r="B145" s="1"/>
      <c r="C145" s="148"/>
      <c r="D145" s="148"/>
      <c r="E145" s="148" t="s">
        <v>235</v>
      </c>
      <c r="F145" s="148"/>
      <c r="G145" s="148"/>
      <c r="H145" s="148"/>
      <c r="I145" s="148"/>
      <c r="J145" s="148"/>
      <c r="K145" s="148"/>
      <c r="L145" s="148"/>
      <c r="M145" s="148"/>
      <c r="N145" s="1"/>
      <c r="O145" s="1"/>
      <c r="P145" s="1"/>
      <c r="Q145" s="1"/>
      <c r="R145" s="1"/>
    </row>
    <row r="146" spans="1:18" ht="12.75" customHeight="1">
      <c r="A146" s="5"/>
      <c r="B146" s="1"/>
      <c r="C146" s="148"/>
      <c r="D146" s="148"/>
      <c r="E146" s="148" t="s">
        <v>236</v>
      </c>
      <c r="F146" s="148"/>
      <c r="G146" s="148"/>
      <c r="H146" s="148"/>
      <c r="I146" s="148"/>
      <c r="J146" s="148"/>
      <c r="K146" s="148"/>
      <c r="L146" s="148"/>
      <c r="M146" s="148"/>
      <c r="N146" s="1"/>
      <c r="O146" s="1"/>
      <c r="P146" s="1"/>
      <c r="Q146" s="1"/>
      <c r="R146" s="1"/>
    </row>
    <row r="147" spans="1:18" ht="13.5" customHeight="1">
      <c r="A147" s="5"/>
      <c r="B147" s="1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"/>
      <c r="O147" s="1"/>
      <c r="P147" s="1"/>
      <c r="Q147" s="1"/>
      <c r="R147" s="1"/>
    </row>
    <row r="148" spans="1:18" ht="12.75" customHeight="1">
      <c r="A148" s="5"/>
      <c r="B148" s="1"/>
      <c r="C148" s="148"/>
      <c r="D148" s="148"/>
      <c r="E148" s="230" t="s">
        <v>212</v>
      </c>
      <c r="F148" s="231" t="s">
        <v>72</v>
      </c>
      <c r="G148" s="231" t="s">
        <v>213</v>
      </c>
      <c r="H148" s="232" t="s">
        <v>214</v>
      </c>
      <c r="I148" s="148"/>
      <c r="J148" s="148"/>
      <c r="K148" s="148"/>
      <c r="L148" s="148"/>
      <c r="M148" s="148"/>
      <c r="N148" s="1"/>
      <c r="O148" s="1"/>
      <c r="P148" s="1"/>
      <c r="Q148" s="1"/>
      <c r="R148" s="1"/>
    </row>
    <row r="149" spans="1:18" ht="12.75" customHeight="1">
      <c r="A149" s="5"/>
      <c r="B149" s="1"/>
      <c r="C149" s="148"/>
      <c r="D149" s="148"/>
      <c r="E149" s="233" t="s">
        <v>237</v>
      </c>
      <c r="F149" s="234">
        <f t="shared" ref="F149:H149" si="38">+J143/$F$214</f>
        <v>5.3748022366065866</v>
      </c>
      <c r="G149" s="234">
        <f t="shared" si="38"/>
        <v>6.1884104071376234</v>
      </c>
      <c r="H149" s="276">
        <f t="shared" si="38"/>
        <v>6.1884323389324951</v>
      </c>
      <c r="I149" s="148"/>
      <c r="J149" s="148"/>
      <c r="K149" s="148"/>
      <c r="L149" s="148"/>
      <c r="M149" s="148"/>
      <c r="N149" s="1"/>
      <c r="O149" s="1"/>
      <c r="P149" s="1"/>
      <c r="Q149" s="1"/>
      <c r="R149" s="1"/>
    </row>
    <row r="150" spans="1:18" ht="13.5" customHeight="1">
      <c r="A150" s="5"/>
      <c r="B150" s="1"/>
      <c r="C150" s="148"/>
      <c r="D150" s="148"/>
      <c r="E150" s="235" t="s">
        <v>238</v>
      </c>
      <c r="F150" s="236">
        <f t="shared" ref="F150:H150" si="39">+$F$235*F149/2</f>
        <v>17846.023051232809</v>
      </c>
      <c r="G150" s="236">
        <f t="shared" si="39"/>
        <v>20547.456429949139</v>
      </c>
      <c r="H150" s="237">
        <f t="shared" si="39"/>
        <v>20547.5292503618</v>
      </c>
      <c r="I150" s="148"/>
      <c r="J150" s="148"/>
      <c r="K150" s="148"/>
      <c r="L150" s="148"/>
      <c r="M150" s="148"/>
      <c r="N150" s="1"/>
      <c r="O150" s="1"/>
      <c r="P150" s="1"/>
      <c r="Q150" s="1"/>
      <c r="R150" s="1"/>
    </row>
    <row r="151" spans="1:18" ht="12.75" customHeight="1">
      <c r="A151" s="5"/>
      <c r="B151" s="1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"/>
      <c r="O151" s="1"/>
      <c r="P151" s="1"/>
      <c r="Q151" s="1"/>
      <c r="R151" s="1"/>
    </row>
    <row r="152" spans="1:18" ht="13.5" customHeight="1">
      <c r="A152" s="5"/>
      <c r="B152" s="1"/>
      <c r="C152" s="148"/>
      <c r="D152" s="251" t="s">
        <v>239</v>
      </c>
      <c r="E152" s="252"/>
      <c r="F152" s="148"/>
      <c r="G152" s="148"/>
      <c r="H152" s="148"/>
      <c r="I152" s="148"/>
      <c r="J152" s="148"/>
      <c r="K152" s="148"/>
      <c r="L152" s="148"/>
      <c r="M152" s="148"/>
      <c r="N152" s="1"/>
      <c r="O152" s="1"/>
      <c r="P152" s="1"/>
      <c r="Q152" s="1"/>
      <c r="R152" s="1"/>
    </row>
    <row r="153" spans="1:18" ht="13.5" customHeight="1">
      <c r="A153" s="5"/>
      <c r="B153" s="1"/>
      <c r="C153" s="148"/>
      <c r="D153" s="148"/>
      <c r="E153" s="148"/>
      <c r="F153" s="148"/>
      <c r="G153" s="914" t="s">
        <v>228</v>
      </c>
      <c r="H153" s="915"/>
      <c r="I153" s="916"/>
      <c r="J153" s="920" t="s">
        <v>229</v>
      </c>
      <c r="K153" s="915"/>
      <c r="L153" s="916"/>
      <c r="M153" s="148"/>
      <c r="N153" s="1"/>
      <c r="O153" s="1"/>
      <c r="P153" s="1"/>
      <c r="Q153" s="1"/>
      <c r="R153" s="1"/>
    </row>
    <row r="154" spans="1:18" ht="13.5" customHeight="1">
      <c r="A154" s="5"/>
      <c r="B154" s="1"/>
      <c r="C154" s="148"/>
      <c r="D154" s="148"/>
      <c r="E154" s="254" t="s">
        <v>230</v>
      </c>
      <c r="F154" s="164" t="s">
        <v>170</v>
      </c>
      <c r="G154" s="255" t="s">
        <v>72</v>
      </c>
      <c r="H154" s="256" t="s">
        <v>231</v>
      </c>
      <c r="I154" s="257" t="s">
        <v>232</v>
      </c>
      <c r="J154" s="258" t="s">
        <v>72</v>
      </c>
      <c r="K154" s="256" t="s">
        <v>231</v>
      </c>
      <c r="L154" s="257" t="s">
        <v>232</v>
      </c>
      <c r="M154" s="148"/>
      <c r="N154" s="1"/>
      <c r="O154" s="1"/>
      <c r="P154" s="1"/>
      <c r="Q154" s="1"/>
      <c r="R154" s="1"/>
    </row>
    <row r="155" spans="1:18" ht="12.75" customHeight="1">
      <c r="A155" s="5"/>
      <c r="B155" s="1"/>
      <c r="C155" s="148"/>
      <c r="D155" s="148"/>
      <c r="E155" s="277" t="s">
        <v>240</v>
      </c>
      <c r="F155" s="278">
        <v>0.01</v>
      </c>
      <c r="G155" s="279">
        <f>SUMPRODUCT('E-Inv AF y Am'!B43:B50,'E-Inv AF y Am'!I43:I50)</f>
        <v>4020870.9526007883</v>
      </c>
      <c r="H155" s="280">
        <f t="shared" ref="H155:I155" si="40">+G155</f>
        <v>4020870.9526007883</v>
      </c>
      <c r="I155" s="281">
        <f t="shared" si="40"/>
        <v>4020870.9526007883</v>
      </c>
      <c r="J155" s="282">
        <f t="shared" ref="J155:J156" si="41">+$F155*G155*$K$101</f>
        <v>37067.404094288519</v>
      </c>
      <c r="K155" s="283">
        <f t="shared" ref="K155:K156" si="42">+$F155*H155</f>
        <v>40208.709526007886</v>
      </c>
      <c r="L155" s="284">
        <f t="shared" ref="L155:L156" si="43">+$F155*I155*1.05</f>
        <v>42219.14500230828</v>
      </c>
      <c r="M155" s="148"/>
      <c r="N155" s="1"/>
      <c r="O155" s="1"/>
      <c r="P155" s="1"/>
      <c r="Q155" s="1"/>
      <c r="R155" s="1"/>
    </row>
    <row r="156" spans="1:18" ht="12.75" customHeight="1">
      <c r="A156" s="5"/>
      <c r="B156" s="1"/>
      <c r="C156" s="148"/>
      <c r="D156" s="148"/>
      <c r="E156" s="259" t="s">
        <v>241</v>
      </c>
      <c r="F156" s="285">
        <v>2.5000000000000001E-2</v>
      </c>
      <c r="G156" s="286">
        <f>AVERAGE('E-Costos'!B8:F8)</f>
        <v>3356640</v>
      </c>
      <c r="H156" s="287">
        <f t="shared" ref="H156:I156" si="44">+G156</f>
        <v>3356640</v>
      </c>
      <c r="I156" s="288">
        <f t="shared" si="44"/>
        <v>3356640</v>
      </c>
      <c r="J156" s="264">
        <f t="shared" si="41"/>
        <v>77360.0625</v>
      </c>
      <c r="K156" s="262">
        <f t="shared" si="42"/>
        <v>83916</v>
      </c>
      <c r="L156" s="263">
        <f t="shared" si="43"/>
        <v>88111.8</v>
      </c>
      <c r="M156" s="148"/>
      <c r="N156" s="1"/>
      <c r="O156" s="1"/>
      <c r="P156" s="1"/>
      <c r="Q156" s="1"/>
      <c r="R156" s="1"/>
    </row>
    <row r="157" spans="1:18" ht="13.5" customHeight="1">
      <c r="A157" s="5"/>
      <c r="B157" s="1"/>
      <c r="C157" s="148"/>
      <c r="D157" s="148"/>
      <c r="E157" s="267" t="s">
        <v>242</v>
      </c>
      <c r="F157" s="289">
        <v>5.0000000000000001E-3</v>
      </c>
      <c r="G157" s="290">
        <f>+K125</f>
        <v>1882837.5</v>
      </c>
      <c r="H157" s="291">
        <f>+$K$124</f>
        <v>2042400</v>
      </c>
      <c r="I157" s="292">
        <f>+H157</f>
        <v>2042400</v>
      </c>
      <c r="J157" s="271">
        <f t="shared" ref="J157:L157" si="45">+$F157*G157</f>
        <v>9414.1875</v>
      </c>
      <c r="K157" s="236">
        <f t="shared" si="45"/>
        <v>10212</v>
      </c>
      <c r="L157" s="237">
        <f t="shared" si="45"/>
        <v>10212</v>
      </c>
      <c r="M157" s="148"/>
      <c r="N157" s="1"/>
      <c r="O157" s="1"/>
      <c r="P157" s="1"/>
      <c r="Q157" s="1"/>
      <c r="R157" s="1"/>
    </row>
    <row r="158" spans="1:18" ht="13.5" customHeight="1">
      <c r="A158" s="5"/>
      <c r="B158" s="1"/>
      <c r="C158" s="148"/>
      <c r="D158" s="148"/>
      <c r="E158" s="148"/>
      <c r="F158" s="148"/>
      <c r="G158" s="148"/>
      <c r="H158" s="921" t="s">
        <v>234</v>
      </c>
      <c r="I158" s="922"/>
      <c r="J158" s="272">
        <f t="shared" ref="J158:L158" si="46">+SUM(J155:J157)</f>
        <v>123841.65409428852</v>
      </c>
      <c r="K158" s="272">
        <f t="shared" si="46"/>
        <v>134336.70952600788</v>
      </c>
      <c r="L158" s="273">
        <f t="shared" si="46"/>
        <v>140542.94500230829</v>
      </c>
      <c r="M158" s="148"/>
      <c r="N158" s="1"/>
      <c r="O158" s="1"/>
      <c r="P158" s="1"/>
      <c r="Q158" s="1"/>
      <c r="R158" s="1"/>
    </row>
    <row r="159" spans="1:18" ht="12.75" customHeight="1">
      <c r="A159" s="5"/>
      <c r="B159" s="1"/>
      <c r="C159" s="148"/>
      <c r="D159" s="148"/>
      <c r="E159" s="148" t="s">
        <v>243</v>
      </c>
      <c r="F159" s="148"/>
      <c r="G159" s="148"/>
      <c r="H159" s="148"/>
      <c r="I159" s="148"/>
      <c r="J159" s="148"/>
      <c r="K159" s="148"/>
      <c r="L159" s="148"/>
      <c r="M159" s="148"/>
      <c r="N159" s="1"/>
      <c r="O159" s="1"/>
      <c r="P159" s="1"/>
      <c r="Q159" s="1"/>
      <c r="R159" s="1"/>
    </row>
    <row r="160" spans="1:18" ht="12.75" customHeight="1">
      <c r="A160" s="5"/>
      <c r="B160" s="1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"/>
      <c r="O160" s="1"/>
      <c r="P160" s="1"/>
      <c r="Q160" s="1"/>
      <c r="R160" s="1"/>
    </row>
    <row r="161" spans="1:18" ht="13.5" customHeight="1">
      <c r="A161" s="5"/>
      <c r="B161" s="1"/>
      <c r="C161" s="148"/>
      <c r="D161" s="251" t="s">
        <v>244</v>
      </c>
      <c r="E161" s="252"/>
      <c r="F161" s="148"/>
      <c r="G161" s="148"/>
      <c r="H161" s="148"/>
      <c r="I161" s="148"/>
      <c r="J161" s="148"/>
      <c r="K161" s="148"/>
      <c r="L161" s="148"/>
      <c r="M161" s="148"/>
      <c r="N161" s="1"/>
      <c r="O161" s="1"/>
      <c r="P161" s="1"/>
      <c r="Q161" s="1"/>
      <c r="R161" s="1"/>
    </row>
    <row r="162" spans="1:18" ht="13.5" customHeight="1">
      <c r="A162" s="5"/>
      <c r="B162" s="1"/>
      <c r="C162" s="148"/>
      <c r="D162" s="148"/>
      <c r="E162" s="148"/>
      <c r="F162" s="148"/>
      <c r="G162" s="914" t="s">
        <v>228</v>
      </c>
      <c r="H162" s="915"/>
      <c r="I162" s="916"/>
      <c r="J162" s="920" t="s">
        <v>229</v>
      </c>
      <c r="K162" s="915"/>
      <c r="L162" s="916"/>
      <c r="M162" s="148"/>
      <c r="N162" s="1"/>
      <c r="O162" s="1"/>
      <c r="P162" s="1"/>
      <c r="Q162" s="1"/>
      <c r="R162" s="1"/>
    </row>
    <row r="163" spans="1:18" ht="13.5" customHeight="1">
      <c r="A163" s="5"/>
      <c r="B163" s="1"/>
      <c r="C163" s="148"/>
      <c r="D163" s="148"/>
      <c r="E163" s="254" t="s">
        <v>230</v>
      </c>
      <c r="F163" s="164" t="s">
        <v>170</v>
      </c>
      <c r="G163" s="255" t="s">
        <v>72</v>
      </c>
      <c r="H163" s="256" t="s">
        <v>231</v>
      </c>
      <c r="I163" s="257" t="s">
        <v>232</v>
      </c>
      <c r="J163" s="258" t="s">
        <v>72</v>
      </c>
      <c r="K163" s="256" t="s">
        <v>231</v>
      </c>
      <c r="L163" s="257" t="s">
        <v>232</v>
      </c>
      <c r="M163" s="148"/>
      <c r="N163" s="1"/>
      <c r="O163" s="1"/>
      <c r="P163" s="1"/>
      <c r="Q163" s="1"/>
      <c r="R163" s="1"/>
    </row>
    <row r="164" spans="1:18" ht="12.75" customHeight="1">
      <c r="A164" s="5"/>
      <c r="B164" s="1"/>
      <c r="C164" s="148"/>
      <c r="D164" s="148"/>
      <c r="E164" s="277" t="s">
        <v>240</v>
      </c>
      <c r="F164" s="278">
        <v>0.01</v>
      </c>
      <c r="G164" s="293">
        <f>SUMPRODUCT('E-Inv AF y Am'!D43:D50,'E-Inv AF y Am'!J43:J50)</f>
        <v>698077.08927156357</v>
      </c>
      <c r="H164" s="283">
        <f t="shared" ref="H164:I164" si="47">+G164</f>
        <v>698077.08927156357</v>
      </c>
      <c r="I164" s="284">
        <f t="shared" si="47"/>
        <v>698077.08927156357</v>
      </c>
      <c r="J164" s="282">
        <f t="shared" ref="J164:J165" si="48">+$F164*G164*$K$101</f>
        <v>6435.3981667222261</v>
      </c>
      <c r="K164" s="283">
        <f t="shared" ref="K164:K165" si="49">+$F164*H164</f>
        <v>6980.7708927156355</v>
      </c>
      <c r="L164" s="284">
        <f t="shared" ref="L164:L165" si="50">+$F164*I164*1.05</f>
        <v>7329.8094373514177</v>
      </c>
      <c r="M164" s="148"/>
      <c r="N164" s="1"/>
      <c r="O164" s="1"/>
      <c r="P164" s="1"/>
      <c r="Q164" s="1"/>
      <c r="R164" s="1"/>
    </row>
    <row r="165" spans="1:18" ht="12.75" customHeight="1">
      <c r="A165" s="5"/>
      <c r="B165" s="1"/>
      <c r="C165" s="148"/>
      <c r="D165" s="148"/>
      <c r="E165" s="259" t="s">
        <v>241</v>
      </c>
      <c r="F165" s="285">
        <v>2.5000000000000001E-2</v>
      </c>
      <c r="G165" s="261">
        <f>AVERAGE('E-Costos'!B8:F8)</f>
        <v>3356640</v>
      </c>
      <c r="H165" s="262">
        <f t="shared" ref="H165:I165" si="51">+G165</f>
        <v>3356640</v>
      </c>
      <c r="I165" s="263">
        <f t="shared" si="51"/>
        <v>3356640</v>
      </c>
      <c r="J165" s="264">
        <f t="shared" si="48"/>
        <v>77360.0625</v>
      </c>
      <c r="K165" s="262">
        <f t="shared" si="49"/>
        <v>83916</v>
      </c>
      <c r="L165" s="263">
        <f t="shared" si="50"/>
        <v>88111.8</v>
      </c>
      <c r="M165" s="148"/>
      <c r="N165" s="1"/>
      <c r="O165" s="1"/>
      <c r="P165" s="1"/>
      <c r="Q165" s="1"/>
      <c r="R165" s="1"/>
    </row>
    <row r="166" spans="1:18" ht="13.5" customHeight="1">
      <c r="A166" s="5"/>
      <c r="B166" s="1"/>
      <c r="C166" s="148"/>
      <c r="D166" s="148"/>
      <c r="E166" s="267" t="s">
        <v>242</v>
      </c>
      <c r="F166" s="289">
        <v>5.0000000000000001E-3</v>
      </c>
      <c r="G166" s="269">
        <f>+K133</f>
        <v>1065600</v>
      </c>
      <c r="H166" s="270">
        <f>+$K$134</f>
        <v>982350</v>
      </c>
      <c r="I166" s="237">
        <f>+H166</f>
        <v>982350</v>
      </c>
      <c r="J166" s="271">
        <f t="shared" ref="J166:L166" si="52">+$F166*G166</f>
        <v>5328</v>
      </c>
      <c r="K166" s="236">
        <f t="shared" si="52"/>
        <v>4911.75</v>
      </c>
      <c r="L166" s="237">
        <f t="shared" si="52"/>
        <v>4911.75</v>
      </c>
      <c r="M166" s="148"/>
      <c r="N166" s="1"/>
      <c r="O166" s="1"/>
      <c r="P166" s="1"/>
      <c r="Q166" s="1"/>
      <c r="R166" s="1"/>
    </row>
    <row r="167" spans="1:18" ht="13.5" customHeight="1">
      <c r="A167" s="5"/>
      <c r="B167" s="1"/>
      <c r="C167" s="148"/>
      <c r="D167" s="148"/>
      <c r="E167" s="148"/>
      <c r="F167" s="148"/>
      <c r="G167" s="148"/>
      <c r="H167" s="921" t="s">
        <v>234</v>
      </c>
      <c r="I167" s="922"/>
      <c r="J167" s="272">
        <f t="shared" ref="J167:L167" si="53">+SUM(J164:J166)</f>
        <v>89123.460666722225</v>
      </c>
      <c r="K167" s="272">
        <f t="shared" si="53"/>
        <v>95808.520892715635</v>
      </c>
      <c r="L167" s="273">
        <f t="shared" si="53"/>
        <v>100353.35943735142</v>
      </c>
      <c r="M167" s="148"/>
      <c r="N167" s="1"/>
      <c r="O167" s="1"/>
      <c r="P167" s="1"/>
      <c r="Q167" s="1"/>
      <c r="R167" s="1"/>
    </row>
    <row r="168" spans="1:18" ht="12.75" customHeight="1">
      <c r="A168" s="5"/>
      <c r="B168" s="1"/>
      <c r="C168" s="1"/>
      <c r="D168" s="1"/>
      <c r="E168" s="1" t="s">
        <v>243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3.5" customHeight="1">
      <c r="A170" s="5"/>
      <c r="B170" s="1"/>
      <c r="C170" s="294" t="s">
        <v>245</v>
      </c>
      <c r="D170" s="1"/>
      <c r="E170" s="1"/>
      <c r="F170" s="295" t="s">
        <v>227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3.5" customHeight="1">
      <c r="A171" s="5"/>
      <c r="B171" s="1"/>
      <c r="C171" s="1"/>
      <c r="D171" s="1"/>
      <c r="E171" s="930" t="s">
        <v>246</v>
      </c>
      <c r="F171" s="932" t="s">
        <v>247</v>
      </c>
      <c r="G171" s="296" t="s">
        <v>248</v>
      </c>
      <c r="H171" s="296" t="s">
        <v>249</v>
      </c>
      <c r="I171" s="297" t="s">
        <v>250</v>
      </c>
      <c r="J171" s="298" t="s">
        <v>251</v>
      </c>
      <c r="K171" s="928" t="s">
        <v>252</v>
      </c>
      <c r="L171" s="916"/>
      <c r="M171" s="1"/>
      <c r="N171" s="1"/>
      <c r="O171" s="1"/>
      <c r="P171" s="1"/>
      <c r="Q171" s="1"/>
      <c r="R171" s="1"/>
    </row>
    <row r="172" spans="1:18" ht="13.5" customHeight="1">
      <c r="A172" s="5"/>
      <c r="B172" s="1"/>
      <c r="C172" s="1"/>
      <c r="D172" s="1"/>
      <c r="E172" s="931"/>
      <c r="F172" s="933"/>
      <c r="G172" s="299" t="s">
        <v>253</v>
      </c>
      <c r="H172" s="299" t="s">
        <v>254</v>
      </c>
      <c r="I172" s="300" t="s">
        <v>255</v>
      </c>
      <c r="J172" s="301" t="s">
        <v>254</v>
      </c>
      <c r="K172" s="302" t="s">
        <v>256</v>
      </c>
      <c r="L172" s="303">
        <f>12*1866.24*$D$70</f>
        <v>13090.069279767411</v>
      </c>
      <c r="M172" s="1"/>
      <c r="N172" s="1"/>
      <c r="O172" s="1"/>
      <c r="P172" s="1"/>
      <c r="Q172" s="1"/>
      <c r="R172" s="1"/>
    </row>
    <row r="173" spans="1:18" ht="12.75" customHeight="1">
      <c r="A173" s="5"/>
      <c r="B173" s="1"/>
      <c r="C173" s="1"/>
      <c r="D173" s="1"/>
      <c r="E173" s="304" t="s">
        <v>22</v>
      </c>
      <c r="F173" s="84">
        <v>1</v>
      </c>
      <c r="G173" s="305">
        <v>1.1000000000000001</v>
      </c>
      <c r="H173" s="306">
        <f t="shared" ref="H173:H178" si="54">J173*340</f>
        <v>1020</v>
      </c>
      <c r="I173" s="307">
        <f t="shared" ref="I173:I180" si="55">F173*G173*H173</f>
        <v>1122</v>
      </c>
      <c r="J173" s="306">
        <v>3</v>
      </c>
      <c r="K173" s="308" t="s">
        <v>257</v>
      </c>
      <c r="L173" s="309">
        <f>128.99*G181*12</f>
        <v>78056.492640000011</v>
      </c>
      <c r="M173" s="1"/>
      <c r="N173" s="1"/>
      <c r="O173" s="1"/>
      <c r="P173" s="1"/>
      <c r="Q173" s="1"/>
      <c r="R173" s="1"/>
    </row>
    <row r="174" spans="1:18" ht="12.75" customHeight="1">
      <c r="A174" s="5"/>
      <c r="B174" s="1"/>
      <c r="C174" s="1"/>
      <c r="D174" s="1"/>
      <c r="E174" s="304" t="s">
        <v>258</v>
      </c>
      <c r="F174" s="84">
        <v>1</v>
      </c>
      <c r="G174" s="305">
        <v>2.2400000000000002</v>
      </c>
      <c r="H174" s="306">
        <f t="shared" si="54"/>
        <v>2210</v>
      </c>
      <c r="I174" s="307">
        <f t="shared" si="55"/>
        <v>4950.4000000000005</v>
      </c>
      <c r="J174" s="206">
        <v>6.5</v>
      </c>
      <c r="K174" s="308" t="s">
        <v>259</v>
      </c>
      <c r="L174" s="309">
        <f>1.32*I181</f>
        <v>512775.33120000002</v>
      </c>
      <c r="M174" s="1"/>
      <c r="N174" s="1"/>
      <c r="O174" s="1"/>
      <c r="P174" s="1"/>
      <c r="Q174" s="1"/>
      <c r="R174" s="1"/>
    </row>
    <row r="175" spans="1:18" ht="12.75" customHeight="1">
      <c r="A175" s="5"/>
      <c r="B175" s="1"/>
      <c r="C175" s="1"/>
      <c r="D175" s="1"/>
      <c r="E175" s="304" t="s">
        <v>260</v>
      </c>
      <c r="F175" s="84">
        <v>3</v>
      </c>
      <c r="G175" s="305">
        <v>2.2400000000000002</v>
      </c>
      <c r="H175" s="306">
        <f t="shared" si="54"/>
        <v>2380</v>
      </c>
      <c r="I175" s="307">
        <f t="shared" si="55"/>
        <v>15993.600000000002</v>
      </c>
      <c r="J175" s="206">
        <v>7</v>
      </c>
      <c r="K175" s="308" t="s">
        <v>261</v>
      </c>
      <c r="L175" s="309">
        <f>SUM(L172:L174)</f>
        <v>603921.89311976742</v>
      </c>
      <c r="M175" s="1"/>
      <c r="N175" s="1"/>
      <c r="O175" s="1"/>
      <c r="P175" s="1"/>
      <c r="Q175" s="1"/>
      <c r="R175" s="1"/>
    </row>
    <row r="176" spans="1:18" ht="12.75" customHeight="1">
      <c r="A176" s="5"/>
      <c r="B176" s="1"/>
      <c r="C176" s="1"/>
      <c r="D176" s="1"/>
      <c r="E176" s="304" t="s">
        <v>90</v>
      </c>
      <c r="F176" s="84">
        <v>4</v>
      </c>
      <c r="G176" s="305">
        <v>0.375</v>
      </c>
      <c r="H176" s="306">
        <f t="shared" si="54"/>
        <v>2550</v>
      </c>
      <c r="I176" s="307">
        <f t="shared" si="55"/>
        <v>3825</v>
      </c>
      <c r="J176" s="206">
        <v>7.5</v>
      </c>
      <c r="K176" s="310"/>
      <c r="L176" s="311"/>
      <c r="M176" s="1"/>
      <c r="N176" s="1"/>
      <c r="O176" s="1"/>
      <c r="P176" s="1"/>
      <c r="Q176" s="1"/>
      <c r="R176" s="1"/>
    </row>
    <row r="177" spans="1:18" ht="12.75" customHeight="1">
      <c r="A177" s="5"/>
      <c r="B177" s="1"/>
      <c r="C177" s="1"/>
      <c r="D177" s="1"/>
      <c r="E177" s="304" t="s">
        <v>92</v>
      </c>
      <c r="F177" s="84">
        <v>1</v>
      </c>
      <c r="G177" s="305">
        <v>0.2</v>
      </c>
      <c r="H177" s="306">
        <f t="shared" si="54"/>
        <v>2267.8000000000002</v>
      </c>
      <c r="I177" s="307">
        <f t="shared" si="55"/>
        <v>453.56000000000006</v>
      </c>
      <c r="J177" s="206">
        <v>6.67</v>
      </c>
      <c r="K177" s="312"/>
      <c r="L177" s="309"/>
      <c r="M177" s="1"/>
      <c r="N177" s="1"/>
      <c r="O177" s="1"/>
      <c r="P177" s="1"/>
      <c r="Q177" s="1"/>
      <c r="R177" s="1"/>
    </row>
    <row r="178" spans="1:18" ht="12.75" customHeight="1">
      <c r="A178" s="5"/>
      <c r="B178" s="1"/>
      <c r="C178" s="1"/>
      <c r="D178" s="1"/>
      <c r="E178" s="304" t="s">
        <v>262</v>
      </c>
      <c r="F178" s="84">
        <v>1</v>
      </c>
      <c r="G178" s="305">
        <v>44.18</v>
      </c>
      <c r="H178" s="306">
        <f t="shared" si="54"/>
        <v>8160</v>
      </c>
      <c r="I178" s="307">
        <f t="shared" si="55"/>
        <v>360508.8</v>
      </c>
      <c r="J178" s="206">
        <v>24</v>
      </c>
      <c r="K178" s="312"/>
      <c r="L178" s="309"/>
      <c r="M178" s="1"/>
      <c r="N178" s="1"/>
      <c r="O178" s="1"/>
      <c r="P178" s="1"/>
      <c r="Q178" s="1"/>
      <c r="R178" s="1"/>
    </row>
    <row r="179" spans="1:18" ht="12.75" customHeight="1">
      <c r="A179" s="5"/>
      <c r="B179" s="1"/>
      <c r="C179" s="1"/>
      <c r="D179" s="1"/>
      <c r="E179" s="313" t="s">
        <v>263</v>
      </c>
      <c r="F179" s="61">
        <v>30</v>
      </c>
      <c r="G179" s="314">
        <v>1.7999999999999999E-2</v>
      </c>
      <c r="H179" s="205">
        <f t="shared" ref="H179:H180" si="56">8*(5*50-10)</f>
        <v>1920</v>
      </c>
      <c r="I179" s="315">
        <f t="shared" si="55"/>
        <v>1036.8</v>
      </c>
      <c r="J179" s="205"/>
      <c r="K179" s="312" t="s">
        <v>264</v>
      </c>
      <c r="L179" s="316">
        <f>+L175/12</f>
        <v>50326.824426647283</v>
      </c>
      <c r="M179" s="1"/>
      <c r="N179" s="1"/>
      <c r="O179" s="1"/>
      <c r="P179" s="1"/>
      <c r="Q179" s="1"/>
      <c r="R179" s="1"/>
    </row>
    <row r="180" spans="1:18" ht="13.5" customHeight="1">
      <c r="A180" s="5"/>
      <c r="B180" s="1"/>
      <c r="C180" s="1"/>
      <c r="D180" s="1"/>
      <c r="E180" s="317" t="s">
        <v>265</v>
      </c>
      <c r="F180" s="137">
        <v>4</v>
      </c>
      <c r="G180" s="318">
        <v>7.4999999999999997E-2</v>
      </c>
      <c r="H180" s="319">
        <f t="shared" si="56"/>
        <v>1920</v>
      </c>
      <c r="I180" s="320">
        <f t="shared" si="55"/>
        <v>576</v>
      </c>
      <c r="J180" s="319"/>
      <c r="K180" s="66" t="s">
        <v>266</v>
      </c>
      <c r="L180" s="1"/>
      <c r="M180" s="1"/>
      <c r="N180" s="1"/>
      <c r="O180" s="1"/>
      <c r="P180" s="1"/>
      <c r="Q180" s="1"/>
      <c r="R180" s="1"/>
    </row>
    <row r="181" spans="1:18" ht="13.5" customHeight="1">
      <c r="A181" s="5"/>
      <c r="B181" s="1"/>
      <c r="C181" s="1"/>
      <c r="D181" s="1"/>
      <c r="E181" s="926" t="s">
        <v>267</v>
      </c>
      <c r="F181" s="927"/>
      <c r="G181" s="321">
        <f>SUM(G173:G180)</f>
        <v>50.428000000000004</v>
      </c>
      <c r="H181" s="322"/>
      <c r="I181" s="323">
        <f>SUM(I173:I180)</f>
        <v>388466.16</v>
      </c>
      <c r="J181" s="324"/>
      <c r="K181" s="325" t="s">
        <v>110</v>
      </c>
      <c r="L181" s="326">
        <f>L175</f>
        <v>603921.89311976742</v>
      </c>
      <c r="M181" s="1"/>
      <c r="N181" s="1"/>
      <c r="O181" s="1"/>
      <c r="P181" s="1"/>
      <c r="Q181" s="1"/>
      <c r="R181" s="1"/>
    </row>
    <row r="182" spans="1:18" ht="13.5" customHeight="1">
      <c r="A182" s="5"/>
      <c r="B182" s="1"/>
      <c r="C182" s="1"/>
      <c r="D182" s="1"/>
      <c r="E182" s="1"/>
      <c r="F182" s="185"/>
      <c r="G182" s="925" t="s">
        <v>268</v>
      </c>
      <c r="H182" s="924"/>
      <c r="I182" s="327">
        <f>I181/12</f>
        <v>32372.179999999997</v>
      </c>
      <c r="J182" s="324"/>
      <c r="K182" s="328" t="s">
        <v>72</v>
      </c>
      <c r="L182" s="329">
        <f>L174*K101+L172+L173</f>
        <v>563861.32036976749</v>
      </c>
      <c r="M182" s="1"/>
      <c r="N182" s="1"/>
      <c r="O182" s="1"/>
      <c r="P182" s="1"/>
      <c r="Q182" s="1"/>
      <c r="R182" s="1"/>
    </row>
    <row r="183" spans="1:18" ht="13.5" customHeight="1">
      <c r="A183" s="5"/>
      <c r="B183" s="1"/>
      <c r="C183" s="1"/>
      <c r="D183" s="1"/>
      <c r="E183" s="1"/>
      <c r="F183" s="185"/>
      <c r="G183" s="169"/>
      <c r="H183" s="169"/>
      <c r="I183" s="330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3.5" customHeight="1">
      <c r="A184" s="5"/>
      <c r="B184" s="1"/>
      <c r="C184" s="1"/>
      <c r="D184" s="1"/>
      <c r="E184" s="82" t="s">
        <v>212</v>
      </c>
      <c r="F184" s="7" t="s">
        <v>72</v>
      </c>
      <c r="G184" s="7" t="s">
        <v>213</v>
      </c>
      <c r="H184" s="8" t="s">
        <v>214</v>
      </c>
      <c r="I184" s="330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>
      <c r="A185" s="5"/>
      <c r="B185" s="1"/>
      <c r="C185" s="1"/>
      <c r="D185" s="1"/>
      <c r="E185" s="331" t="s">
        <v>269</v>
      </c>
      <c r="F185" s="332">
        <f>+L182/$F$214</f>
        <v>0.29506086884864863</v>
      </c>
      <c r="G185" s="332">
        <f>+L181/$F$214</f>
        <v>0.31602401523797352</v>
      </c>
      <c r="H185" s="333">
        <f>+L181/$F$214</f>
        <v>0.31602401523797352</v>
      </c>
      <c r="I185" s="330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3.5" customHeight="1">
      <c r="A186" s="5"/>
      <c r="B186" s="1"/>
      <c r="C186" s="1"/>
      <c r="D186" s="1"/>
      <c r="E186" s="334" t="s">
        <v>270</v>
      </c>
      <c r="F186" s="335">
        <f t="shared" ref="F186:H186" si="57">+$F$235*F185/2</f>
        <v>979.69429109902865</v>
      </c>
      <c r="G186" s="335">
        <f t="shared" si="57"/>
        <v>1049.2984880948341</v>
      </c>
      <c r="H186" s="336">
        <f t="shared" si="57"/>
        <v>1049.2984880948341</v>
      </c>
      <c r="I186" s="330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>
      <c r="A187" s="5"/>
      <c r="B187" s="1"/>
      <c r="C187" s="1"/>
      <c r="D187" s="1"/>
      <c r="E187" s="1"/>
      <c r="F187" s="185"/>
      <c r="G187" s="169"/>
      <c r="H187" s="169"/>
      <c r="I187" s="330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3.5" customHeight="1">
      <c r="A188" s="5"/>
      <c r="B188" s="1"/>
      <c r="C188" s="1"/>
      <c r="D188" s="1"/>
      <c r="E188" s="295"/>
      <c r="F188" s="295" t="s">
        <v>271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3.5" customHeight="1">
      <c r="A189" s="5"/>
      <c r="B189" s="1"/>
      <c r="C189" s="1"/>
      <c r="D189" s="1"/>
      <c r="E189" s="930" t="s">
        <v>246</v>
      </c>
      <c r="F189" s="932" t="s">
        <v>247</v>
      </c>
      <c r="G189" s="296" t="s">
        <v>248</v>
      </c>
      <c r="H189" s="296" t="s">
        <v>249</v>
      </c>
      <c r="I189" s="297" t="s">
        <v>250</v>
      </c>
      <c r="J189" s="337" t="s">
        <v>272</v>
      </c>
      <c r="K189" s="928" t="s">
        <v>252</v>
      </c>
      <c r="L189" s="916"/>
      <c r="M189" s="1"/>
      <c r="N189" s="1"/>
      <c r="O189" s="1"/>
      <c r="P189" s="1"/>
      <c r="Q189" s="1"/>
      <c r="R189" s="1"/>
    </row>
    <row r="190" spans="1:18" ht="13.5" customHeight="1">
      <c r="A190" s="5"/>
      <c r="B190" s="1"/>
      <c r="C190" s="1"/>
      <c r="D190" s="1"/>
      <c r="E190" s="931"/>
      <c r="F190" s="933"/>
      <c r="G190" s="338" t="s">
        <v>253</v>
      </c>
      <c r="H190" s="338" t="s">
        <v>254</v>
      </c>
      <c r="I190" s="339" t="s">
        <v>255</v>
      </c>
      <c r="J190" s="337" t="s">
        <v>273</v>
      </c>
      <c r="K190" s="340" t="s">
        <v>256</v>
      </c>
      <c r="L190" s="341">
        <f>12*1866.24*$D$71</f>
        <v>7529.0834835469805</v>
      </c>
      <c r="M190" s="1"/>
      <c r="N190" s="1"/>
      <c r="O190" s="1"/>
      <c r="P190" s="1"/>
      <c r="Q190" s="1"/>
      <c r="R190" s="1"/>
    </row>
    <row r="191" spans="1:18" ht="12.75" customHeight="1">
      <c r="A191" s="5"/>
      <c r="B191" s="1"/>
      <c r="C191" s="1"/>
      <c r="D191" s="1"/>
      <c r="E191" s="342" t="s">
        <v>274</v>
      </c>
      <c r="F191" s="343">
        <v>6</v>
      </c>
      <c r="G191" s="344">
        <v>0.37</v>
      </c>
      <c r="H191" s="344">
        <f t="shared" ref="H191:H199" si="58">J191*24</f>
        <v>426.24</v>
      </c>
      <c r="I191" s="344">
        <v>4493.28</v>
      </c>
      <c r="J191" s="345">
        <v>17.760000000000002</v>
      </c>
      <c r="K191" s="346"/>
      <c r="L191" s="347"/>
      <c r="M191" s="348"/>
      <c r="N191" s="1"/>
      <c r="O191" s="1"/>
      <c r="P191" s="1"/>
      <c r="Q191" s="1"/>
      <c r="R191" s="1"/>
    </row>
    <row r="192" spans="1:18" ht="12.75" customHeight="1">
      <c r="A192" s="5"/>
      <c r="B192" s="1"/>
      <c r="C192" s="1"/>
      <c r="D192" s="1"/>
      <c r="E192" s="342" t="s">
        <v>275</v>
      </c>
      <c r="F192" s="343">
        <v>1</v>
      </c>
      <c r="G192" s="344">
        <v>0.6</v>
      </c>
      <c r="H192" s="344">
        <f t="shared" si="58"/>
        <v>345.6</v>
      </c>
      <c r="I192" s="344">
        <v>3643.2</v>
      </c>
      <c r="J192" s="345">
        <v>14.4</v>
      </c>
      <c r="K192" s="312" t="s">
        <v>257</v>
      </c>
      <c r="L192" s="349">
        <f>128.99*G200*12</f>
        <v>436595.03280000016</v>
      </c>
      <c r="M192" s="77"/>
      <c r="N192" s="1"/>
      <c r="O192" s="1"/>
      <c r="P192" s="1"/>
      <c r="Q192" s="77"/>
      <c r="R192" s="1"/>
    </row>
    <row r="193" spans="1:18" ht="12.75" customHeight="1">
      <c r="A193" s="5"/>
      <c r="B193" s="1"/>
      <c r="C193" s="1"/>
      <c r="D193" s="1"/>
      <c r="E193" s="342" t="s">
        <v>276</v>
      </c>
      <c r="F193" s="343">
        <v>1</v>
      </c>
      <c r="G193" s="344">
        <v>1.2</v>
      </c>
      <c r="H193" s="344">
        <f t="shared" si="58"/>
        <v>28.799999999999997</v>
      </c>
      <c r="I193" s="344">
        <v>303.60000000000002</v>
      </c>
      <c r="J193" s="345">
        <v>1.2</v>
      </c>
      <c r="K193" s="312"/>
      <c r="L193" s="349"/>
      <c r="M193" s="1"/>
      <c r="N193" s="1"/>
      <c r="O193" s="1"/>
      <c r="P193" s="1"/>
      <c r="Q193" s="1"/>
      <c r="R193" s="1"/>
    </row>
    <row r="194" spans="1:18" ht="12.75" customHeight="1">
      <c r="A194" s="5"/>
      <c r="B194" s="1"/>
      <c r="C194" s="1"/>
      <c r="D194" s="1"/>
      <c r="E194" s="342" t="s">
        <v>277</v>
      </c>
      <c r="F194" s="343">
        <v>1</v>
      </c>
      <c r="G194" s="344">
        <v>1</v>
      </c>
      <c r="H194" s="344">
        <f t="shared" si="58"/>
        <v>24</v>
      </c>
      <c r="I194" s="344">
        <v>253</v>
      </c>
      <c r="J194" s="345">
        <v>1</v>
      </c>
      <c r="K194" s="312" t="s">
        <v>259</v>
      </c>
      <c r="L194" s="349">
        <f>I200*1.22</f>
        <v>10294.872399999998</v>
      </c>
      <c r="M194" s="1"/>
      <c r="N194" s="1"/>
      <c r="O194" s="1"/>
      <c r="P194" s="1"/>
      <c r="Q194" s="1"/>
      <c r="R194" s="1"/>
    </row>
    <row r="195" spans="1:18" ht="12.75" customHeight="1">
      <c r="A195" s="5"/>
      <c r="B195" s="1"/>
      <c r="C195" s="1"/>
      <c r="D195" s="1"/>
      <c r="E195" s="342" t="s">
        <v>278</v>
      </c>
      <c r="F195" s="343">
        <v>1</v>
      </c>
      <c r="G195" s="350">
        <v>205</v>
      </c>
      <c r="H195" s="344">
        <f t="shared" si="58"/>
        <v>14760</v>
      </c>
      <c r="I195" s="344">
        <v>155.6</v>
      </c>
      <c r="J195" s="351">
        <v>615</v>
      </c>
      <c r="K195" s="312"/>
      <c r="L195" s="316"/>
      <c r="M195" s="1"/>
      <c r="N195" s="1"/>
      <c r="O195" s="1"/>
      <c r="P195" s="1"/>
      <c r="Q195" s="1"/>
      <c r="R195" s="1"/>
    </row>
    <row r="196" spans="1:18" ht="12.75" customHeight="1">
      <c r="A196" s="5"/>
      <c r="B196" s="1"/>
      <c r="C196" s="1"/>
      <c r="D196" s="1"/>
      <c r="E196" s="342" t="s">
        <v>279</v>
      </c>
      <c r="F196" s="343">
        <v>3</v>
      </c>
      <c r="G196" s="344">
        <v>0.15</v>
      </c>
      <c r="H196" s="344">
        <f t="shared" si="58"/>
        <v>21.6</v>
      </c>
      <c r="I196" s="344">
        <v>227.7</v>
      </c>
      <c r="J196" s="345">
        <v>0.9</v>
      </c>
      <c r="K196" s="312"/>
      <c r="L196" s="316"/>
      <c r="M196" s="1"/>
      <c r="N196" s="1"/>
      <c r="O196" s="1"/>
      <c r="P196" s="1"/>
      <c r="Q196" s="1"/>
      <c r="R196" s="1"/>
    </row>
    <row r="197" spans="1:18" ht="12.75" customHeight="1">
      <c r="A197" s="5"/>
      <c r="B197" s="1"/>
      <c r="C197" s="1"/>
      <c r="D197" s="1"/>
      <c r="E197" s="342" t="s">
        <v>280</v>
      </c>
      <c r="F197" s="343">
        <v>13</v>
      </c>
      <c r="G197" s="350">
        <v>75</v>
      </c>
      <c r="H197" s="344">
        <f t="shared" si="58"/>
        <v>187.2</v>
      </c>
      <c r="I197" s="344">
        <v>1973</v>
      </c>
      <c r="J197" s="345">
        <v>7.8</v>
      </c>
      <c r="K197" s="312"/>
      <c r="L197" s="316"/>
      <c r="M197" s="1"/>
      <c r="N197" s="1"/>
      <c r="O197" s="1"/>
      <c r="P197" s="1"/>
      <c r="Q197" s="1"/>
      <c r="R197" s="1"/>
    </row>
    <row r="198" spans="1:18" ht="12.75" customHeight="1">
      <c r="A198" s="5"/>
      <c r="B198" s="1"/>
      <c r="C198" s="1"/>
      <c r="D198" s="1"/>
      <c r="E198" s="342" t="s">
        <v>281</v>
      </c>
      <c r="F198" s="343">
        <v>3</v>
      </c>
      <c r="G198" s="344">
        <v>0.1</v>
      </c>
      <c r="H198" s="344">
        <f t="shared" si="58"/>
        <v>172.8</v>
      </c>
      <c r="I198" s="344">
        <v>1821.6</v>
      </c>
      <c r="J198" s="345">
        <v>7.2</v>
      </c>
      <c r="K198" s="312" t="s">
        <v>261</v>
      </c>
      <c r="L198" s="316">
        <f>SUM(L190:L194)</f>
        <v>454418.98868354713</v>
      </c>
      <c r="M198" s="1"/>
      <c r="N198" s="1"/>
      <c r="O198" s="1"/>
      <c r="P198" s="1"/>
      <c r="Q198" s="1"/>
      <c r="R198" s="1"/>
    </row>
    <row r="199" spans="1:18" ht="13.5" customHeight="1">
      <c r="A199" s="5"/>
      <c r="B199" s="1"/>
      <c r="C199" s="1"/>
      <c r="D199" s="1"/>
      <c r="E199" s="342" t="s">
        <v>282</v>
      </c>
      <c r="F199" s="343">
        <v>1</v>
      </c>
      <c r="G199" s="344">
        <v>0.01</v>
      </c>
      <c r="H199" s="344">
        <f t="shared" si="58"/>
        <v>5.76</v>
      </c>
      <c r="I199" s="344">
        <v>60.72</v>
      </c>
      <c r="J199" s="345">
        <v>0.24</v>
      </c>
      <c r="K199" s="312" t="s">
        <v>264</v>
      </c>
      <c r="L199" s="316">
        <f>L198/12</f>
        <v>37868.249056962261</v>
      </c>
      <c r="M199" s="1"/>
      <c r="N199" s="206" t="s">
        <v>283</v>
      </c>
      <c r="O199" s="206" t="s">
        <v>284</v>
      </c>
      <c r="P199" s="1"/>
      <c r="Q199" s="1"/>
      <c r="R199" s="1"/>
    </row>
    <row r="200" spans="1:18" ht="13.5" customHeight="1">
      <c r="A200" s="5"/>
      <c r="B200" s="1"/>
      <c r="C200" s="1"/>
      <c r="D200" s="1"/>
      <c r="E200" s="923" t="s">
        <v>267</v>
      </c>
      <c r="F200" s="924"/>
      <c r="G200" s="352">
        <f>SUM(G192:G199)-G194</f>
        <v>282.06000000000006</v>
      </c>
      <c r="H200" s="353"/>
      <c r="I200" s="354">
        <f>SUM(I192:I199)</f>
        <v>8438.4199999999983</v>
      </c>
      <c r="J200" s="355"/>
      <c r="K200" s="356"/>
      <c r="L200" s="357"/>
      <c r="M200" s="358" t="s">
        <v>285</v>
      </c>
      <c r="N200" s="359">
        <f>1-O200</f>
        <v>0.82996293647181218</v>
      </c>
      <c r="O200" s="359">
        <f>G54</f>
        <v>0.17003706352818779</v>
      </c>
      <c r="P200" s="1"/>
      <c r="Q200" s="1"/>
      <c r="R200" s="1"/>
    </row>
    <row r="201" spans="1:18" ht="13.5" customHeight="1">
      <c r="A201" s="5"/>
      <c r="B201" s="1"/>
      <c r="C201" s="1"/>
      <c r="D201" s="1"/>
      <c r="E201" s="1"/>
      <c r="F201" s="185"/>
      <c r="G201" s="925" t="s">
        <v>268</v>
      </c>
      <c r="H201" s="924"/>
      <c r="I201" s="327">
        <f>I200/12</f>
        <v>703.20166666666648</v>
      </c>
      <c r="J201" s="355"/>
      <c r="K201" s="325" t="s">
        <v>110</v>
      </c>
      <c r="L201" s="360">
        <f>+L198</f>
        <v>454418.98868354713</v>
      </c>
      <c r="M201" s="361"/>
      <c r="N201" s="362">
        <f>L201*N200</f>
        <v>377150.91823634796</v>
      </c>
      <c r="O201" s="362">
        <f>L201*O200</f>
        <v>77268.070447199148</v>
      </c>
      <c r="P201" s="1"/>
      <c r="Q201" s="1"/>
      <c r="R201" s="1"/>
    </row>
    <row r="202" spans="1:18" ht="13.5" customHeight="1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363" t="s">
        <v>72</v>
      </c>
      <c r="L202" s="364">
        <f>L194*K101+L192+L190</f>
        <v>453614.70177729713</v>
      </c>
      <c r="M202" s="365"/>
      <c r="N202" s="362">
        <f>L202*N200</f>
        <v>376483.38991387089</v>
      </c>
      <c r="O202" s="362">
        <f>O200*L202</f>
        <v>77131.311863426236</v>
      </c>
      <c r="P202" s="1"/>
      <c r="Q202" s="1"/>
      <c r="R202" s="1"/>
    </row>
    <row r="203" spans="1:18" ht="12.75" customHeight="1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366" t="s">
        <v>286</v>
      </c>
      <c r="L203" s="74"/>
      <c r="M203" s="1"/>
      <c r="N203" s="1"/>
      <c r="O203" s="1"/>
      <c r="P203" s="1"/>
      <c r="Q203" s="1"/>
      <c r="R203" s="1"/>
    </row>
    <row r="204" spans="1:18" ht="13.5" customHeight="1">
      <c r="A204" s="5"/>
      <c r="B204" s="367"/>
      <c r="C204" s="367"/>
      <c r="D204" s="367"/>
      <c r="E204" s="163" t="s">
        <v>287</v>
      </c>
      <c r="F204" s="368"/>
      <c r="G204" s="367"/>
      <c r="H204" s="367"/>
      <c r="I204" s="367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3.5" customHeight="1">
      <c r="A205" s="5"/>
      <c r="B205" s="369"/>
      <c r="C205" s="369"/>
      <c r="D205" s="369"/>
      <c r="E205" s="370" t="s">
        <v>288</v>
      </c>
      <c r="F205" s="371">
        <v>400000</v>
      </c>
      <c r="G205" s="369"/>
      <c r="H205" s="369"/>
      <c r="I205" s="369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3.5" customHeight="1">
      <c r="A206" s="5"/>
      <c r="B206" s="369"/>
      <c r="C206" s="369"/>
      <c r="D206" s="369"/>
      <c r="E206" s="370" t="s">
        <v>289</v>
      </c>
      <c r="F206" s="372">
        <v>300930</v>
      </c>
      <c r="G206" s="369"/>
      <c r="H206" s="369"/>
      <c r="I206" s="369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3.5" customHeight="1">
      <c r="A207" s="5"/>
      <c r="B207" s="369"/>
      <c r="C207" s="373"/>
      <c r="D207" s="373"/>
      <c r="E207" s="163" t="s">
        <v>290</v>
      </c>
      <c r="F207" s="374"/>
      <c r="G207" s="373"/>
      <c r="H207" s="373"/>
      <c r="I207" s="373"/>
      <c r="J207" s="148"/>
      <c r="K207" s="1"/>
      <c r="L207" s="1"/>
      <c r="M207" s="1"/>
      <c r="N207" s="1"/>
      <c r="O207" s="1"/>
      <c r="P207" s="1"/>
      <c r="Q207" s="1"/>
      <c r="R207" s="1"/>
    </row>
    <row r="208" spans="1:18" ht="13.5" customHeight="1">
      <c r="A208" s="5"/>
      <c r="B208" s="369"/>
      <c r="C208" s="373"/>
      <c r="D208" s="373"/>
      <c r="E208" s="370" t="s">
        <v>291</v>
      </c>
      <c r="F208" s="371">
        <v>2982600</v>
      </c>
      <c r="G208" s="373"/>
      <c r="H208" s="373"/>
      <c r="I208" s="373"/>
      <c r="J208" s="148"/>
      <c r="K208" s="1"/>
      <c r="L208" s="1"/>
      <c r="M208" s="1"/>
      <c r="N208" s="1"/>
      <c r="O208" s="1"/>
      <c r="P208" s="1"/>
      <c r="Q208" s="1"/>
      <c r="R208" s="1"/>
    </row>
    <row r="209" spans="1:18" ht="13.5" customHeight="1">
      <c r="A209" s="5"/>
      <c r="B209" s="369"/>
      <c r="C209" s="373"/>
      <c r="D209" s="375"/>
      <c r="E209" s="373"/>
      <c r="F209" s="375"/>
      <c r="G209" s="373"/>
      <c r="H209" s="375"/>
      <c r="I209" s="373"/>
      <c r="J209" s="148"/>
      <c r="K209" s="1"/>
      <c r="L209" s="1"/>
      <c r="M209" s="1"/>
      <c r="N209" s="1"/>
      <c r="O209" s="1"/>
      <c r="P209" s="1"/>
      <c r="Q209" s="1"/>
      <c r="R209" s="1"/>
    </row>
    <row r="210" spans="1:18" ht="13.5" customHeight="1">
      <c r="A210" s="5"/>
      <c r="B210" s="369"/>
      <c r="C210" s="376"/>
      <c r="D210" s="377"/>
      <c r="E210" s="378" t="s">
        <v>292</v>
      </c>
      <c r="F210" s="379">
        <f>1940.826*1000*12.5</f>
        <v>24260325</v>
      </c>
      <c r="G210" s="373"/>
      <c r="H210" s="373"/>
      <c r="I210" s="373"/>
      <c r="J210" s="148"/>
      <c r="K210" s="1"/>
      <c r="L210" s="1"/>
      <c r="M210" s="1"/>
      <c r="N210" s="1"/>
      <c r="O210" s="1"/>
      <c r="P210" s="1"/>
      <c r="Q210" s="1"/>
      <c r="R210" s="1"/>
    </row>
    <row r="211" spans="1:18" ht="13.5" customHeight="1">
      <c r="A211" s="5"/>
      <c r="B211" s="380"/>
      <c r="C211" s="381"/>
      <c r="D211" s="382"/>
      <c r="E211" s="378" t="s">
        <v>293</v>
      </c>
      <c r="F211" s="379">
        <f>1940.826*1000</f>
        <v>1940826</v>
      </c>
      <c r="G211" s="383"/>
      <c r="H211" s="383"/>
      <c r="I211" s="383"/>
      <c r="J211" s="148"/>
      <c r="K211" s="1"/>
      <c r="L211" s="1"/>
      <c r="M211" s="1"/>
      <c r="N211" s="1"/>
      <c r="O211" s="1"/>
      <c r="P211" s="1"/>
      <c r="Q211" s="1"/>
      <c r="R211" s="1"/>
    </row>
    <row r="212" spans="1:18" ht="13.5" customHeight="1">
      <c r="A212" s="5"/>
      <c r="B212" s="1"/>
      <c r="C212" s="373"/>
      <c r="D212" s="373"/>
      <c r="E212" s="378" t="s">
        <v>294</v>
      </c>
      <c r="F212" s="379">
        <f>2254.5*1000*12.5</f>
        <v>28181250</v>
      </c>
      <c r="G212" s="384"/>
      <c r="H212" s="384"/>
      <c r="I212" s="384"/>
      <c r="J212" s="148"/>
      <c r="K212" s="929"/>
      <c r="L212" s="907"/>
      <c r="M212" s="1"/>
      <c r="N212" s="1"/>
      <c r="O212" s="1"/>
      <c r="P212" s="1"/>
      <c r="Q212" s="1"/>
      <c r="R212" s="1"/>
    </row>
    <row r="213" spans="1:18" ht="13.5" customHeight="1">
      <c r="A213" s="5"/>
      <c r="B213" s="1"/>
      <c r="C213" s="373"/>
      <c r="D213" s="373"/>
      <c r="E213" s="378" t="s">
        <v>295</v>
      </c>
      <c r="F213" s="379">
        <f>2254.5*1000</f>
        <v>2254500</v>
      </c>
      <c r="G213" s="385"/>
      <c r="H213" s="385"/>
      <c r="I213" s="385"/>
      <c r="J213" s="148"/>
      <c r="K213" s="5"/>
      <c r="L213" s="386"/>
      <c r="M213" s="1"/>
      <c r="N213" s="1"/>
      <c r="O213" s="1"/>
      <c r="P213" s="1"/>
      <c r="Q213" s="1"/>
      <c r="R213" s="1"/>
    </row>
    <row r="214" spans="1:18" ht="13.5" customHeight="1">
      <c r="A214" s="5"/>
      <c r="B214" s="1"/>
      <c r="C214" s="387"/>
      <c r="D214" s="388"/>
      <c r="E214" s="370" t="s">
        <v>296</v>
      </c>
      <c r="F214" s="379">
        <v>1911000</v>
      </c>
      <c r="G214" s="389"/>
      <c r="H214" s="389"/>
      <c r="I214" s="389"/>
      <c r="J214" s="148"/>
      <c r="K214" s="5"/>
      <c r="L214" s="386"/>
      <c r="M214" s="1"/>
      <c r="N214" s="1"/>
      <c r="O214" s="1"/>
      <c r="P214" s="1"/>
      <c r="Q214" s="1"/>
      <c r="R214" s="1"/>
    </row>
    <row r="215" spans="1:18" ht="13.5" customHeight="1">
      <c r="A215" s="5"/>
      <c r="B215" s="1"/>
      <c r="C215" s="250"/>
      <c r="D215" s="148"/>
      <c r="E215" s="370" t="s">
        <v>297</v>
      </c>
      <c r="F215" s="379">
        <f>2531.17*1000</f>
        <v>2531170</v>
      </c>
      <c r="G215" s="389"/>
      <c r="H215" s="389"/>
      <c r="I215" s="389"/>
      <c r="J215" s="148"/>
      <c r="K215" s="185"/>
      <c r="L215" s="390"/>
      <c r="M215" s="1"/>
      <c r="N215" s="1"/>
      <c r="O215" s="1"/>
      <c r="P215" s="1"/>
      <c r="Q215" s="1"/>
      <c r="R215" s="1"/>
    </row>
    <row r="216" spans="1:18" ht="13.5" customHeight="1">
      <c r="A216" s="5"/>
      <c r="B216" s="1"/>
      <c r="C216" s="250"/>
      <c r="D216" s="148"/>
      <c r="E216" s="391" t="s">
        <v>298</v>
      </c>
      <c r="F216" s="392">
        <f>F215/F214</f>
        <v>1.3245264259549974</v>
      </c>
      <c r="G216" s="393"/>
      <c r="H216" s="384"/>
      <c r="I216" s="394"/>
      <c r="J216" s="148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>
      <c r="A217" s="5"/>
      <c r="B217" s="1"/>
      <c r="C217" s="148"/>
      <c r="D217" s="148"/>
      <c r="E217" s="391" t="s">
        <v>299</v>
      </c>
      <c r="F217" s="395">
        <v>2254500</v>
      </c>
      <c r="G217" s="393"/>
      <c r="H217" s="384"/>
      <c r="I217" s="394"/>
      <c r="J217" s="148"/>
      <c r="K217" s="185"/>
      <c r="L217" s="74"/>
      <c r="M217" s="1"/>
      <c r="N217" s="1"/>
      <c r="O217" s="1"/>
      <c r="P217" s="1"/>
      <c r="Q217" s="1"/>
      <c r="R217" s="1"/>
    </row>
    <row r="218" spans="1:18" ht="13.5" customHeight="1">
      <c r="A218" s="5"/>
      <c r="B218" s="1"/>
      <c r="C218" s="148"/>
      <c r="D218" s="148"/>
      <c r="E218" s="391" t="s">
        <v>300</v>
      </c>
      <c r="F218" s="395">
        <v>2885760</v>
      </c>
      <c r="G218" s="396" t="s">
        <v>301</v>
      </c>
      <c r="H218" s="397"/>
      <c r="I218" s="398"/>
      <c r="J218" s="148"/>
      <c r="K218" s="185"/>
      <c r="L218" s="74"/>
      <c r="M218" s="1"/>
      <c r="N218" s="1"/>
      <c r="O218" s="1"/>
      <c r="P218" s="1"/>
      <c r="Q218" s="1"/>
      <c r="R218" s="1"/>
    </row>
    <row r="219" spans="1:18" ht="13.5" customHeight="1">
      <c r="A219" s="5"/>
      <c r="B219" s="1"/>
      <c r="C219" s="148"/>
      <c r="D219" s="148"/>
      <c r="E219" s="391" t="s">
        <v>302</v>
      </c>
      <c r="F219" s="392">
        <f>F218/F217</f>
        <v>1.28</v>
      </c>
      <c r="G219" s="274"/>
      <c r="H219" s="274"/>
      <c r="I219" s="398"/>
      <c r="J219" s="148"/>
      <c r="K219" s="399" t="s">
        <v>303</v>
      </c>
      <c r="L219" s="74"/>
      <c r="M219" s="1"/>
      <c r="N219" s="1"/>
      <c r="O219" s="1"/>
      <c r="P219" s="1"/>
      <c r="Q219" s="1"/>
      <c r="R219" s="1"/>
    </row>
    <row r="220" spans="1:18" ht="12.75" customHeight="1">
      <c r="A220" s="5"/>
      <c r="B220" s="1"/>
      <c r="C220" s="148"/>
      <c r="D220" s="148"/>
      <c r="G220" s="400"/>
      <c r="H220" s="400"/>
      <c r="I220" s="398"/>
      <c r="J220" s="148"/>
      <c r="Q220" s="1"/>
      <c r="R220" s="1"/>
    </row>
    <row r="221" spans="1:18" ht="12.75" customHeight="1">
      <c r="A221" s="5"/>
      <c r="B221" s="401"/>
      <c r="C221" s="148"/>
      <c r="D221" s="148"/>
      <c r="E221" s="148"/>
      <c r="F221" s="148"/>
      <c r="G221" s="148"/>
      <c r="H221" s="148"/>
      <c r="I221" s="148"/>
      <c r="J221" s="148"/>
      <c r="K221" s="185"/>
      <c r="L221" s="74"/>
      <c r="M221" s="1"/>
      <c r="N221" s="1"/>
      <c r="O221" s="1"/>
      <c r="P221" s="1"/>
      <c r="Q221" s="1"/>
      <c r="R221" s="1"/>
    </row>
    <row r="222" spans="1:18" ht="12.75" customHeight="1">
      <c r="A222" s="5"/>
      <c r="B222" s="401"/>
      <c r="C222" s="148"/>
      <c r="D222" s="148"/>
      <c r="E222" s="402" t="s">
        <v>304</v>
      </c>
      <c r="F222" s="403"/>
      <c r="G222" s="148"/>
      <c r="H222" s="148"/>
      <c r="I222" s="148"/>
      <c r="J222" s="148"/>
      <c r="K222" s="185"/>
      <c r="L222" s="74"/>
      <c r="M222" s="1"/>
      <c r="N222" s="1"/>
      <c r="O222" s="1"/>
      <c r="P222" s="1"/>
      <c r="Q222" s="1"/>
      <c r="R222" s="1"/>
    </row>
    <row r="223" spans="1:18" ht="13.5" customHeight="1">
      <c r="A223" s="348"/>
      <c r="B223" s="1"/>
      <c r="C223" s="250"/>
      <c r="D223" s="148"/>
      <c r="E223" s="148"/>
      <c r="F223" s="148"/>
      <c r="G223" s="148"/>
      <c r="H223" s="148"/>
      <c r="I223" s="148"/>
      <c r="J223" s="148"/>
      <c r="K223" s="1"/>
      <c r="L223" s="1"/>
      <c r="M223" s="1"/>
      <c r="N223" s="1"/>
      <c r="O223" s="1"/>
      <c r="P223" s="1"/>
      <c r="Q223" s="1"/>
      <c r="R223" s="1"/>
    </row>
    <row r="224" spans="1:18" ht="13.5" customHeight="1">
      <c r="C224" s="404"/>
      <c r="D224" s="148"/>
      <c r="E224" s="405"/>
      <c r="F224" s="405"/>
      <c r="G224" s="405"/>
      <c r="H224" s="405"/>
      <c r="I224" s="405"/>
      <c r="J224" s="405"/>
      <c r="K224" s="1"/>
      <c r="L224" s="1"/>
      <c r="M224" s="1"/>
      <c r="N224" s="1"/>
      <c r="O224" s="1"/>
      <c r="P224" s="1"/>
      <c r="Q224" s="1"/>
      <c r="R224" s="1"/>
    </row>
    <row r="225" spans="1:18" ht="13.5" customHeight="1">
      <c r="C225" s="406"/>
      <c r="D225" s="1"/>
      <c r="E225" s="407" t="s">
        <v>305</v>
      </c>
      <c r="F225" s="408" t="s">
        <v>306</v>
      </c>
      <c r="G225" s="409" t="s">
        <v>307</v>
      </c>
      <c r="H225" s="410" t="s">
        <v>308</v>
      </c>
      <c r="I225" s="407" t="s">
        <v>170</v>
      </c>
      <c r="J225" s="408" t="s">
        <v>309</v>
      </c>
      <c r="K225" s="411" t="s">
        <v>181</v>
      </c>
      <c r="L225" s="173" t="s">
        <v>310</v>
      </c>
      <c r="M225" s="1"/>
      <c r="N225" s="1"/>
      <c r="O225" s="1"/>
      <c r="P225" s="1"/>
      <c r="Q225" s="1"/>
      <c r="R225" s="1"/>
    </row>
    <row r="226" spans="1:18" ht="12.75" customHeight="1">
      <c r="C226" s="406"/>
      <c r="D226" s="1"/>
      <c r="E226" s="412">
        <v>1</v>
      </c>
      <c r="F226" s="413" t="s">
        <v>311</v>
      </c>
      <c r="G226" s="414">
        <f t="shared" ref="G226:G230" si="59">$H$231*I226</f>
        <v>2861303.1839999999</v>
      </c>
      <c r="H226" s="415" t="s">
        <v>312</v>
      </c>
      <c r="I226" s="416">
        <v>0.99152499999999999</v>
      </c>
      <c r="J226" s="417">
        <f t="shared" ref="J226:J230" si="60">+I226*$J$231</f>
        <v>8427.9624999999996</v>
      </c>
      <c r="K226" s="418">
        <f t="shared" ref="K226:K230" si="61">I78</f>
        <v>81</v>
      </c>
      <c r="L226" s="419">
        <f t="shared" ref="L226:L230" si="62">K226*J226</f>
        <v>682664.96250000002</v>
      </c>
      <c r="M226" s="1"/>
      <c r="N226" s="1"/>
      <c r="O226" s="1"/>
      <c r="P226" s="1"/>
      <c r="Q226" s="1"/>
      <c r="R226" s="1"/>
    </row>
    <row r="227" spans="1:18" ht="12.75" customHeight="1">
      <c r="C227" s="348"/>
      <c r="D227" s="1"/>
      <c r="E227" s="420">
        <v>2</v>
      </c>
      <c r="F227" s="421" t="s">
        <v>313</v>
      </c>
      <c r="G227" s="414">
        <f t="shared" si="59"/>
        <v>24348.600000000002</v>
      </c>
      <c r="H227" s="422" t="s">
        <v>312</v>
      </c>
      <c r="I227" s="423">
        <v>8.4375000000000006E-3</v>
      </c>
      <c r="J227" s="424">
        <f t="shared" si="60"/>
        <v>71.71875</v>
      </c>
      <c r="K227" s="418">
        <f t="shared" si="61"/>
        <v>11</v>
      </c>
      <c r="L227" s="419">
        <f t="shared" si="62"/>
        <v>788.90625</v>
      </c>
      <c r="M227" s="1"/>
      <c r="N227" s="1"/>
      <c r="O227" s="1"/>
      <c r="P227" s="1"/>
      <c r="Q227" s="1"/>
      <c r="R227" s="1"/>
    </row>
    <row r="228" spans="1:18" ht="12.75" customHeight="1">
      <c r="C228" s="404"/>
      <c r="D228" s="1"/>
      <c r="E228" s="420">
        <v>3</v>
      </c>
      <c r="F228" s="421" t="s">
        <v>314</v>
      </c>
      <c r="G228" s="414">
        <f t="shared" si="59"/>
        <v>36.072000000000003</v>
      </c>
      <c r="H228" s="422" t="s">
        <v>312</v>
      </c>
      <c r="I228" s="425">
        <v>1.2500000000000001E-5</v>
      </c>
      <c r="J228" s="426">
        <f t="shared" si="60"/>
        <v>0.10625000000000001</v>
      </c>
      <c r="K228" s="418">
        <f t="shared" si="61"/>
        <v>13.33</v>
      </c>
      <c r="L228" s="419">
        <f t="shared" si="62"/>
        <v>1.4163125000000001</v>
      </c>
      <c r="M228" s="1"/>
      <c r="N228" s="1"/>
      <c r="O228" s="1"/>
      <c r="P228" s="1"/>
      <c r="Q228" s="1"/>
      <c r="R228" s="1"/>
    </row>
    <row r="229" spans="1:18" ht="12.75" customHeight="1">
      <c r="C229" s="404"/>
      <c r="D229" s="1"/>
      <c r="E229" s="420">
        <v>4</v>
      </c>
      <c r="F229" s="421" t="s">
        <v>315</v>
      </c>
      <c r="G229" s="414">
        <f t="shared" si="59"/>
        <v>36.072000000000003</v>
      </c>
      <c r="H229" s="422" t="s">
        <v>312</v>
      </c>
      <c r="I229" s="425">
        <v>1.2500000000000001E-5</v>
      </c>
      <c r="J229" s="426">
        <f t="shared" si="60"/>
        <v>0.10625000000000001</v>
      </c>
      <c r="K229" s="418">
        <f t="shared" si="61"/>
        <v>13.33</v>
      </c>
      <c r="L229" s="419">
        <f t="shared" si="62"/>
        <v>1.4163125000000001</v>
      </c>
      <c r="M229" s="1"/>
      <c r="N229" s="1"/>
      <c r="O229" s="1"/>
      <c r="P229" s="1"/>
      <c r="Q229" s="1"/>
      <c r="R229" s="1"/>
    </row>
    <row r="230" spans="1:18" ht="12.75" customHeight="1">
      <c r="C230" s="1"/>
      <c r="D230" s="1"/>
      <c r="E230" s="420">
        <v>5</v>
      </c>
      <c r="F230" s="421" t="s">
        <v>316</v>
      </c>
      <c r="G230" s="427">
        <f t="shared" si="59"/>
        <v>36.072000000000003</v>
      </c>
      <c r="H230" s="428" t="s">
        <v>312</v>
      </c>
      <c r="I230" s="429">
        <v>1.2500000000000001E-5</v>
      </c>
      <c r="J230" s="430">
        <f t="shared" si="60"/>
        <v>0.10625000000000001</v>
      </c>
      <c r="K230" s="431">
        <f t="shared" si="61"/>
        <v>13.33</v>
      </c>
      <c r="L230" s="432">
        <f t="shared" si="62"/>
        <v>1.4163125000000001</v>
      </c>
      <c r="M230" s="1"/>
      <c r="N230" s="1"/>
      <c r="O230" s="1"/>
      <c r="P230" s="1"/>
      <c r="Q230" s="1"/>
      <c r="R230" s="1"/>
    </row>
    <row r="231" spans="1:18" ht="13.5" customHeight="1">
      <c r="C231" s="1"/>
      <c r="D231" s="148"/>
      <c r="E231" s="154"/>
      <c r="F231" s="148"/>
      <c r="G231" s="433" t="s">
        <v>317</v>
      </c>
      <c r="H231" s="434">
        <f>F218</f>
        <v>2885760</v>
      </c>
      <c r="I231" s="435" t="s">
        <v>318</v>
      </c>
      <c r="J231" s="436">
        <v>8500</v>
      </c>
      <c r="K231" s="437" t="s">
        <v>192</v>
      </c>
      <c r="L231" s="438">
        <f>SUM(L226:L230)</f>
        <v>683458.11768750008</v>
      </c>
      <c r="M231" s="439"/>
      <c r="N231" s="1"/>
      <c r="O231" s="1"/>
      <c r="P231" s="1"/>
      <c r="Q231" s="1"/>
      <c r="R231" s="1"/>
    </row>
    <row r="232" spans="1:18" ht="13.5" customHeight="1">
      <c r="A232" s="440"/>
      <c r="B232" s="441"/>
      <c r="C232" s="1"/>
      <c r="D232" s="148"/>
      <c r="E232" s="148"/>
      <c r="F232" s="148"/>
      <c r="G232" s="148"/>
      <c r="H232" s="148"/>
      <c r="I232" s="148"/>
      <c r="J232" s="148"/>
      <c r="K232" s="1"/>
      <c r="L232" s="1"/>
      <c r="M232" s="1"/>
      <c r="N232" s="1"/>
      <c r="O232" s="1"/>
      <c r="P232" s="1"/>
      <c r="Q232" s="1"/>
      <c r="R232" s="1"/>
    </row>
    <row r="233" spans="1:18" ht="39" customHeight="1">
      <c r="C233" s="1"/>
      <c r="D233" s="148"/>
      <c r="E233" s="442" t="s">
        <v>319</v>
      </c>
      <c r="F233" s="443">
        <v>0.28000000000000003</v>
      </c>
      <c r="G233" s="148"/>
      <c r="H233" s="148"/>
      <c r="I233" s="397" t="s">
        <v>320</v>
      </c>
      <c r="J233" s="444" t="s">
        <v>194</v>
      </c>
      <c r="K233" s="445">
        <f>+J96/F213</f>
        <v>1.5124950099800398</v>
      </c>
      <c r="L233" s="1" t="s">
        <v>321</v>
      </c>
      <c r="M233" s="1"/>
      <c r="N233" s="1"/>
      <c r="O233" s="1"/>
      <c r="P233" s="1"/>
      <c r="Q233" s="1"/>
      <c r="R233" s="1"/>
    </row>
    <row r="234" spans="1:18" ht="13.5" customHeight="1">
      <c r="C234" s="1"/>
      <c r="D234" s="148"/>
      <c r="E234" s="148"/>
      <c r="F234" s="148"/>
      <c r="G234" s="148"/>
      <c r="H234" s="148"/>
      <c r="I234" s="148"/>
      <c r="J234" s="148"/>
      <c r="K234" s="1"/>
      <c r="L234" s="1"/>
      <c r="M234" s="1"/>
      <c r="N234" s="1"/>
      <c r="O234" s="1"/>
      <c r="P234" s="1"/>
      <c r="Q234" s="1"/>
      <c r="R234" s="1"/>
    </row>
    <row r="235" spans="1:18" ht="26.25" customHeight="1">
      <c r="C235" s="1"/>
      <c r="D235" s="148"/>
      <c r="E235" s="442" t="s">
        <v>322</v>
      </c>
      <c r="F235" s="446">
        <f>+J231/(1+F233)</f>
        <v>6640.625</v>
      </c>
      <c r="G235" s="447"/>
      <c r="H235" s="148"/>
      <c r="I235" s="148"/>
      <c r="J235" s="254" t="s">
        <v>323</v>
      </c>
      <c r="K235" s="448">
        <f>+K233*F235/2</f>
        <v>5021.956087824351</v>
      </c>
      <c r="L235" s="1"/>
      <c r="M235" s="1"/>
      <c r="N235" s="1"/>
      <c r="O235" s="1"/>
      <c r="P235" s="1"/>
      <c r="Q235" s="1"/>
      <c r="R235" s="1"/>
    </row>
    <row r="236" spans="1:18" ht="39" customHeight="1">
      <c r="C236" s="1"/>
      <c r="D236" s="148"/>
      <c r="E236" s="442" t="s">
        <v>324</v>
      </c>
      <c r="F236" s="446">
        <f>+F235*F233</f>
        <v>1859.3750000000002</v>
      </c>
      <c r="G236" s="148"/>
      <c r="H236" s="148"/>
      <c r="I236" s="148"/>
      <c r="J236" s="148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>
      <c r="C237" s="1"/>
      <c r="D237" s="148"/>
      <c r="E237" s="148"/>
      <c r="F237" s="148"/>
      <c r="G237" s="148"/>
      <c r="H237" s="148"/>
      <c r="I237" s="148"/>
      <c r="J237" s="148"/>
      <c r="K237" s="1"/>
      <c r="L237" s="1"/>
      <c r="M237" s="1"/>
      <c r="N237" s="1"/>
      <c r="O237" s="1"/>
      <c r="P237" s="1"/>
      <c r="Q237" s="1"/>
      <c r="R237" s="1"/>
    </row>
    <row r="238" spans="1:18" ht="13.5" customHeight="1">
      <c r="C238" s="1"/>
      <c r="D238" s="449"/>
      <c r="E238" s="148"/>
      <c r="F238" s="148"/>
      <c r="G238" s="148"/>
      <c r="H238" s="148"/>
      <c r="I238" s="148"/>
      <c r="J238" s="148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>
      <c r="C239" s="1"/>
      <c r="D239" s="148"/>
      <c r="E239" s="450"/>
      <c r="F239" s="231" t="s">
        <v>72</v>
      </c>
      <c r="G239" s="231" t="s">
        <v>213</v>
      </c>
      <c r="H239" s="232" t="s">
        <v>214</v>
      </c>
      <c r="I239" s="148"/>
      <c r="J239" s="148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>
      <c r="C240" s="1"/>
      <c r="D240" s="451"/>
      <c r="E240" s="233" t="s">
        <v>325</v>
      </c>
      <c r="F240" s="452">
        <f>SUMPRODUCT('E-Inv AF y Am'!D43:D50,'E-Inv AF y Am'!H43:H50)+'E-Inv AF y Am'!D53*'E-Inv AF y Am'!H53</f>
        <v>1335130.3033772581</v>
      </c>
      <c r="G240" s="453">
        <f>SUMPRODUCT('E-Inv AF y Am'!D43:D50,'E-Inv AF y Am'!H43:H50)+'E-Inv AF y Am'!D53*'E-Inv AF y Am'!H53</f>
        <v>1335130.3033772581</v>
      </c>
      <c r="H240" s="454">
        <f>SUMPRODUCT('E-Inv AF y Am'!E43:E50,'E-Inv AF y Am'!H43:H50)+'E-Inv AF y Am'!E53*'E-Inv AF y Am'!H53</f>
        <v>1108553.273640234</v>
      </c>
      <c r="I240" s="148"/>
      <c r="J240" s="148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>
      <c r="C241" s="1"/>
      <c r="D241" s="451"/>
      <c r="E241" s="233" t="s">
        <v>326</v>
      </c>
      <c r="F241" s="455">
        <f>F240/F214</f>
        <v>0.698655313122584</v>
      </c>
      <c r="G241" s="455">
        <f>G240/F217</f>
        <v>0.59220683228088633</v>
      </c>
      <c r="H241" s="456">
        <f>H240/F217</f>
        <v>0.4917069299801437</v>
      </c>
      <c r="I241" s="148"/>
      <c r="J241" s="148"/>
      <c r="K241" s="1"/>
      <c r="L241" s="1"/>
      <c r="M241" s="1"/>
      <c r="N241" s="1"/>
      <c r="O241" s="1"/>
      <c r="P241" s="1"/>
      <c r="Q241" s="1"/>
      <c r="R241" s="1"/>
    </row>
    <row r="242" spans="1:18" ht="13.5" customHeight="1">
      <c r="C242" s="1"/>
      <c r="D242" s="148"/>
      <c r="E242" s="235" t="s">
        <v>327</v>
      </c>
      <c r="F242" s="236">
        <f t="shared" ref="F242:H242" si="63">F241*$F$235/2</f>
        <v>2319.7539693523295</v>
      </c>
      <c r="G242" s="236">
        <f t="shared" si="63"/>
        <v>1966.3117478076304</v>
      </c>
      <c r="H242" s="236">
        <f t="shared" si="63"/>
        <v>1632.6206659496959</v>
      </c>
      <c r="I242" s="457"/>
      <c r="J242" s="148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>
      <c r="C243" s="1"/>
      <c r="E243" s="148"/>
      <c r="F243" s="148"/>
      <c r="G243" s="148"/>
      <c r="H243" s="148"/>
      <c r="I243" s="148"/>
      <c r="J243" s="148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>
      <c r="A244" s="5"/>
      <c r="B244" s="1"/>
      <c r="C244" s="167" t="s">
        <v>328</v>
      </c>
      <c r="D244" s="147"/>
      <c r="E244" s="148"/>
      <c r="F244" s="148"/>
      <c r="G244" s="148"/>
      <c r="H244" s="148"/>
      <c r="I244" s="148"/>
      <c r="J244" s="148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>
      <c r="A245" s="5"/>
      <c r="B245" s="1"/>
      <c r="C245" s="1"/>
      <c r="D245" s="1"/>
      <c r="E245" s="458" t="s">
        <v>329</v>
      </c>
      <c r="F245" s="459">
        <f>+J83/F214</f>
        <v>106.50098093065344</v>
      </c>
      <c r="G245" s="460"/>
      <c r="H245" s="461" t="s">
        <v>330</v>
      </c>
      <c r="I245" s="462"/>
      <c r="J245" s="463"/>
      <c r="K245" s="77"/>
      <c r="L245" s="1"/>
      <c r="M245" s="1"/>
      <c r="N245" s="77"/>
      <c r="O245" s="1"/>
      <c r="P245" s="1"/>
      <c r="Q245" s="1"/>
      <c r="R245" s="1"/>
    </row>
    <row r="246" spans="1:18" ht="12.75" customHeight="1">
      <c r="A246" s="5"/>
      <c r="B246" s="1"/>
      <c r="C246" s="1"/>
      <c r="D246" s="1"/>
      <c r="E246" s="458" t="s">
        <v>331</v>
      </c>
      <c r="F246" s="464">
        <f>+J92/F217</f>
        <v>103.99571039999999</v>
      </c>
      <c r="G246" s="148"/>
      <c r="H246" s="462"/>
      <c r="I246" s="462"/>
      <c r="J246" s="463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>
      <c r="A247" s="5"/>
      <c r="B247" s="1"/>
      <c r="C247" s="1"/>
      <c r="D247" s="1"/>
      <c r="E247" s="458" t="s">
        <v>332</v>
      </c>
      <c r="F247" s="465">
        <f>I252</f>
        <v>38412.719999999739</v>
      </c>
      <c r="G247" s="148" t="s">
        <v>333</v>
      </c>
      <c r="H247" s="466" t="s">
        <v>334</v>
      </c>
      <c r="I247" s="467">
        <f>F215</f>
        <v>2531170</v>
      </c>
      <c r="J247" s="468"/>
      <c r="K247" s="469"/>
      <c r="L247" s="470"/>
      <c r="M247" s="471"/>
      <c r="N247" s="471"/>
      <c r="O247" s="469"/>
      <c r="P247" s="470"/>
      <c r="Q247" s="1"/>
      <c r="R247" s="1"/>
    </row>
    <row r="248" spans="1:18" ht="12.75" customHeight="1">
      <c r="A248" s="5"/>
      <c r="B248" s="1"/>
      <c r="C248" s="1"/>
      <c r="D248" s="1"/>
      <c r="E248" s="458" t="s">
        <v>335</v>
      </c>
      <c r="F248" s="464">
        <f>J97/F214</f>
        <v>1.6449607535321822</v>
      </c>
      <c r="G248" s="148"/>
      <c r="H248" s="466" t="s">
        <v>336</v>
      </c>
      <c r="I248" s="467">
        <f>F219</f>
        <v>1.28</v>
      </c>
      <c r="J248" s="468"/>
      <c r="K248" s="469"/>
      <c r="L248" s="472"/>
      <c r="M248" s="471"/>
      <c r="N248" s="471"/>
      <c r="O248" s="469"/>
      <c r="P248" s="470"/>
      <c r="Q248" s="1"/>
      <c r="R248" s="1"/>
    </row>
    <row r="249" spans="1:18" ht="12.75" customHeight="1">
      <c r="A249" s="5"/>
      <c r="B249" s="1"/>
      <c r="C249" s="1"/>
      <c r="D249" s="1"/>
      <c r="E249" s="458" t="s">
        <v>337</v>
      </c>
      <c r="F249" s="464">
        <f>F248*F247</f>
        <v>63187.4168364203</v>
      </c>
      <c r="G249" s="148"/>
      <c r="H249" s="466" t="s">
        <v>338</v>
      </c>
      <c r="I249" s="466">
        <f>F211*I248</f>
        <v>2484257.2800000003</v>
      </c>
      <c r="J249" s="468"/>
      <c r="K249" s="469"/>
      <c r="L249" s="470"/>
      <c r="M249" s="471"/>
      <c r="N249" s="471"/>
      <c r="O249" s="469"/>
      <c r="P249" s="470"/>
      <c r="Q249" s="1"/>
      <c r="R249" s="1"/>
    </row>
    <row r="250" spans="1:18" ht="12.75" customHeight="1">
      <c r="A250" s="5"/>
      <c r="B250" s="1"/>
      <c r="C250" s="1"/>
      <c r="D250" s="1"/>
      <c r="E250" s="458" t="s">
        <v>339</v>
      </c>
      <c r="F250" s="464">
        <f>J141/F214</f>
        <v>5.3250490465326727</v>
      </c>
      <c r="G250" s="148"/>
      <c r="H250" s="466" t="s">
        <v>340</v>
      </c>
      <c r="I250" s="466">
        <v>8500</v>
      </c>
      <c r="J250" s="468"/>
      <c r="K250" s="469"/>
      <c r="L250" s="470"/>
      <c r="M250" s="471"/>
      <c r="N250" s="471"/>
      <c r="O250" s="469"/>
      <c r="P250" s="470"/>
      <c r="Q250" s="1"/>
      <c r="R250" s="1"/>
    </row>
    <row r="251" spans="1:18" ht="12.75" customHeight="1">
      <c r="A251" s="5"/>
      <c r="B251" s="1"/>
      <c r="C251" s="1"/>
      <c r="D251" s="1"/>
      <c r="E251" s="458" t="s">
        <v>341</v>
      </c>
      <c r="F251" s="464">
        <f>F250*F247</f>
        <v>204549.61801072513</v>
      </c>
      <c r="G251" s="148"/>
      <c r="H251" s="473"/>
      <c r="I251" s="473"/>
      <c r="J251" s="468"/>
      <c r="K251" s="471"/>
      <c r="L251" s="471"/>
      <c r="M251" s="471"/>
      <c r="N251" s="471"/>
      <c r="O251" s="471"/>
      <c r="P251" s="471"/>
      <c r="Q251" s="1"/>
      <c r="R251" s="1"/>
    </row>
    <row r="252" spans="1:18" ht="12.75" customHeight="1">
      <c r="A252" s="5"/>
      <c r="B252" s="1"/>
      <c r="C252" s="1"/>
      <c r="D252" s="1"/>
      <c r="E252" s="458" t="s">
        <v>342</v>
      </c>
      <c r="F252" s="464">
        <f>L198/F214</f>
        <v>0.23779120286946476</v>
      </c>
      <c r="G252" s="148"/>
      <c r="H252" s="466" t="s">
        <v>343</v>
      </c>
      <c r="I252" s="467">
        <f>I247-I249-I250</f>
        <v>38412.719999999739</v>
      </c>
      <c r="J252" s="468"/>
      <c r="K252" s="469"/>
      <c r="L252" s="470"/>
      <c r="M252" s="471"/>
      <c r="N252" s="471"/>
      <c r="O252" s="469"/>
      <c r="P252" s="470"/>
      <c r="Q252" s="1"/>
      <c r="R252" s="1"/>
    </row>
    <row r="253" spans="1:18" ht="12.75" customHeight="1">
      <c r="A253" s="5"/>
      <c r="B253" s="1"/>
      <c r="C253" s="1"/>
      <c r="D253" s="1"/>
      <c r="E253" s="474" t="s">
        <v>344</v>
      </c>
      <c r="F253" s="475">
        <f>+F252*F247</f>
        <v>9134.206894287885</v>
      </c>
      <c r="G253" s="148"/>
      <c r="H253" s="148"/>
      <c r="I253" s="148"/>
      <c r="J253" s="148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>
      <c r="A254" s="5"/>
      <c r="B254" s="1"/>
      <c r="C254" s="1"/>
      <c r="D254" s="1"/>
      <c r="E254" s="476"/>
      <c r="F254" s="477"/>
      <c r="G254" s="148"/>
      <c r="H254" s="148"/>
      <c r="I254" s="148"/>
      <c r="J254" s="148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>
      <c r="A255" s="5"/>
      <c r="B255" s="1"/>
      <c r="C255" s="1"/>
      <c r="D255" s="1"/>
      <c r="E255" s="148"/>
      <c r="F255" s="400"/>
      <c r="G255" s="396"/>
      <c r="H255" s="148"/>
      <c r="I255" s="148"/>
      <c r="J255" s="148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>
      <c r="A256" s="5"/>
      <c r="B256" s="1"/>
      <c r="C256" s="1"/>
      <c r="D256" s="1"/>
      <c r="E256" s="478"/>
      <c r="F256" s="479"/>
      <c r="G256" s="148"/>
      <c r="H256" s="148"/>
      <c r="I256" s="148"/>
      <c r="J256" s="148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5"/>
      <c r="B257" s="1"/>
      <c r="C257" s="167" t="s">
        <v>345</v>
      </c>
      <c r="D257" s="147"/>
      <c r="E257" s="148"/>
      <c r="F257" s="148"/>
      <c r="G257" s="148"/>
      <c r="H257" s="148"/>
      <c r="I257" s="148"/>
      <c r="J257" s="148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>
      <c r="A258" s="5"/>
      <c r="B258" s="1"/>
      <c r="C258" s="1"/>
      <c r="D258" s="1"/>
      <c r="E258" s="480" t="s">
        <v>227</v>
      </c>
      <c r="F258" s="478"/>
      <c r="G258" s="148"/>
      <c r="H258" s="148"/>
      <c r="I258" s="148"/>
      <c r="J258" s="148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>
      <c r="A259" s="5"/>
      <c r="B259" s="1"/>
      <c r="C259" s="1"/>
      <c r="D259" s="1"/>
      <c r="E259" s="481" t="s">
        <v>346</v>
      </c>
      <c r="F259" s="482">
        <f>E4*0.008*D70</f>
        <v>14028.280692480508</v>
      </c>
      <c r="G259" s="148"/>
      <c r="H259" s="148"/>
      <c r="I259" s="148"/>
      <c r="J259" s="148"/>
      <c r="K259" s="1"/>
      <c r="L259" s="1"/>
      <c r="M259" s="1"/>
      <c r="N259" s="1"/>
      <c r="O259" s="1"/>
      <c r="P259" s="1"/>
      <c r="Q259" s="1"/>
      <c r="R259" s="1"/>
    </row>
    <row r="260" spans="1:18" ht="13.5" customHeight="1">
      <c r="A260" s="5"/>
      <c r="B260" s="1"/>
      <c r="C260" s="1"/>
      <c r="D260" s="1"/>
      <c r="E260" s="481" t="s">
        <v>347</v>
      </c>
      <c r="F260" s="482">
        <f>E4*0.01*D70</f>
        <v>17535.350865600634</v>
      </c>
      <c r="G260" s="148"/>
      <c r="H260" s="148"/>
      <c r="I260" s="148"/>
      <c r="J260" s="148"/>
      <c r="K260" s="1"/>
      <c r="L260" s="1"/>
      <c r="M260" s="1"/>
      <c r="N260" s="1"/>
      <c r="O260" s="1"/>
      <c r="P260" s="1"/>
      <c r="Q260" s="1"/>
      <c r="R260" s="1"/>
    </row>
    <row r="261" spans="1:18" ht="13.5" customHeight="1">
      <c r="A261" s="5"/>
      <c r="B261" s="1"/>
      <c r="C261" s="1"/>
      <c r="D261" s="148"/>
      <c r="E261" s="483" t="s">
        <v>192</v>
      </c>
      <c r="F261" s="484">
        <f>+SUM(F259:F260)</f>
        <v>31563.631558081142</v>
      </c>
      <c r="G261" s="148"/>
      <c r="H261" s="148"/>
      <c r="I261" s="148"/>
      <c r="J261" s="148"/>
      <c r="K261" s="148"/>
      <c r="L261" s="1"/>
      <c r="M261" s="1"/>
      <c r="N261" s="1"/>
      <c r="O261" s="1"/>
      <c r="P261" s="1"/>
      <c r="Q261" s="1"/>
      <c r="R261" s="1"/>
    </row>
    <row r="262" spans="1:18" ht="13.5" customHeight="1">
      <c r="A262" s="5"/>
      <c r="B262" s="1"/>
      <c r="C262" s="1"/>
      <c r="D262" s="148"/>
      <c r="E262" s="478"/>
      <c r="F262" s="479"/>
      <c r="G262" s="148"/>
      <c r="H262" s="148"/>
      <c r="I262" s="148"/>
      <c r="J262" s="148"/>
      <c r="K262" s="148"/>
      <c r="L262" s="1"/>
      <c r="M262" s="1"/>
      <c r="N262" s="1"/>
      <c r="O262" s="1"/>
      <c r="P262" s="1"/>
      <c r="Q262" s="1"/>
      <c r="R262" s="1"/>
    </row>
    <row r="263" spans="1:18" ht="13.5" customHeight="1">
      <c r="A263" s="5"/>
      <c r="B263" s="1"/>
      <c r="C263" s="1"/>
      <c r="D263" s="148"/>
      <c r="E263" s="255" t="s">
        <v>212</v>
      </c>
      <c r="F263" s="256" t="s">
        <v>72</v>
      </c>
      <c r="G263" s="256" t="s">
        <v>213</v>
      </c>
      <c r="H263" s="257" t="s">
        <v>214</v>
      </c>
      <c r="I263" s="148"/>
      <c r="J263" s="148"/>
      <c r="K263" s="148"/>
      <c r="L263" s="1"/>
      <c r="M263" s="1"/>
      <c r="N263" s="1"/>
      <c r="O263" s="1"/>
      <c r="P263" s="1"/>
      <c r="Q263" s="1"/>
      <c r="R263" s="1"/>
    </row>
    <row r="264" spans="1:18" ht="12.75" customHeight="1">
      <c r="A264" s="5"/>
      <c r="B264" s="1"/>
      <c r="C264" s="1"/>
      <c r="D264" s="148"/>
      <c r="E264" s="485" t="s">
        <v>237</v>
      </c>
      <c r="F264" s="486">
        <f>+F261/$F$214</f>
        <v>1.6516814002135605E-2</v>
      </c>
      <c r="G264" s="486">
        <f>+F261/$F$217</f>
        <v>1.4000280132216075E-2</v>
      </c>
      <c r="H264" s="486">
        <f>+F261/$F$217</f>
        <v>1.4000280132216075E-2</v>
      </c>
      <c r="I264" s="148"/>
      <c r="J264" s="148"/>
      <c r="K264" s="148"/>
      <c r="L264" s="1"/>
      <c r="M264" s="1"/>
      <c r="N264" s="1"/>
      <c r="O264" s="1"/>
      <c r="P264" s="1"/>
      <c r="Q264" s="1"/>
      <c r="R264" s="1"/>
    </row>
    <row r="265" spans="1:18" ht="13.5" customHeight="1">
      <c r="A265" s="5"/>
      <c r="B265" s="1"/>
      <c r="C265" s="1"/>
      <c r="D265" s="148"/>
      <c r="E265" s="235" t="s">
        <v>238</v>
      </c>
      <c r="F265" s="236">
        <f t="shared" ref="F265:H265" si="64">+$F$235*F264/2</f>
        <v>54.840983991465876</v>
      </c>
      <c r="G265" s="236">
        <f t="shared" si="64"/>
        <v>46.485305126498687</v>
      </c>
      <c r="H265" s="237">
        <f t="shared" si="64"/>
        <v>46.485305126498687</v>
      </c>
      <c r="I265" s="148"/>
      <c r="J265" s="148"/>
      <c r="K265" s="148"/>
      <c r="L265" s="1"/>
      <c r="M265" s="1"/>
      <c r="N265" s="1"/>
      <c r="O265" s="1"/>
      <c r="P265" s="1"/>
      <c r="Q265" s="1"/>
      <c r="R265" s="1"/>
    </row>
    <row r="266" spans="1:18" ht="13.5" customHeight="1">
      <c r="A266" s="5"/>
      <c r="B266" s="1"/>
      <c r="C266" s="1"/>
      <c r="D266" s="1"/>
      <c r="E266" s="478"/>
      <c r="F266" s="479"/>
      <c r="G266" s="148"/>
      <c r="H266" s="148"/>
      <c r="I266" s="148"/>
      <c r="J266" s="148"/>
      <c r="K266" s="148"/>
      <c r="L266" s="1"/>
      <c r="M266" s="1"/>
      <c r="N266" s="1"/>
      <c r="O266" s="1"/>
      <c r="P266" s="1"/>
      <c r="Q266" s="1"/>
      <c r="R266" s="1"/>
    </row>
    <row r="267" spans="1:18" ht="13.5" customHeight="1">
      <c r="A267" s="5"/>
      <c r="B267" s="1"/>
      <c r="C267" s="1"/>
      <c r="D267" s="154"/>
      <c r="E267" s="480" t="s">
        <v>239</v>
      </c>
      <c r="F267" s="487" t="s">
        <v>72</v>
      </c>
      <c r="G267" s="488" t="s">
        <v>110</v>
      </c>
      <c r="H267" s="154"/>
      <c r="I267" s="148"/>
      <c r="J267" s="148"/>
      <c r="K267" s="148"/>
      <c r="L267" s="1"/>
      <c r="M267" s="1"/>
      <c r="N267" s="1"/>
      <c r="O267" s="1"/>
      <c r="P267" s="1"/>
      <c r="Q267" s="1"/>
      <c r="R267" s="1"/>
    </row>
    <row r="268" spans="1:18" ht="12.75" customHeight="1">
      <c r="A268" s="5"/>
      <c r="B268" s="1"/>
      <c r="C268" s="1"/>
      <c r="D268" s="154"/>
      <c r="E268" s="489" t="s">
        <v>346</v>
      </c>
      <c r="F268" s="490">
        <f t="shared" ref="F268:G268" si="65">$E$4*0.008*$D$71</f>
        <v>8068.7194396722607</v>
      </c>
      <c r="G268" s="490">
        <f t="shared" si="65"/>
        <v>8068.7194396722607</v>
      </c>
      <c r="H268" s="154"/>
      <c r="I268" s="148"/>
      <c r="J268" s="148"/>
      <c r="K268" s="148"/>
      <c r="L268" s="1"/>
      <c r="M268" s="1"/>
      <c r="N268" s="1"/>
      <c r="O268" s="1"/>
      <c r="P268" s="1"/>
      <c r="Q268" s="1"/>
      <c r="R268" s="1"/>
    </row>
    <row r="269" spans="1:18" ht="12.75" customHeight="1">
      <c r="A269" s="5"/>
      <c r="B269" s="1"/>
      <c r="C269" s="1"/>
      <c r="D269" s="154"/>
      <c r="E269" s="491" t="s">
        <v>347</v>
      </c>
      <c r="F269" s="490">
        <f t="shared" ref="F269:G269" si="66">$E$4*0.01*$D$71</f>
        <v>10085.899299590326</v>
      </c>
      <c r="G269" s="490">
        <f t="shared" si="66"/>
        <v>10085.899299590326</v>
      </c>
      <c r="H269" s="154"/>
      <c r="I269" s="148"/>
      <c r="J269" s="148"/>
      <c r="K269" s="148"/>
      <c r="L269" s="1"/>
      <c r="M269" s="1"/>
      <c r="N269" s="1"/>
      <c r="O269" s="1"/>
      <c r="P269" s="1"/>
      <c r="Q269" s="1"/>
      <c r="R269" s="1"/>
    </row>
    <row r="270" spans="1:18" ht="12.75" customHeight="1">
      <c r="A270" s="5"/>
      <c r="B270" s="1"/>
      <c r="C270" s="1"/>
      <c r="D270" s="154"/>
      <c r="E270" s="491" t="s">
        <v>348</v>
      </c>
      <c r="F270" s="492">
        <f>'E-Costos'!B88*0.0004</f>
        <v>133770</v>
      </c>
      <c r="G270" s="493">
        <f>'E-Costos'!C88*0.0004</f>
        <v>157815</v>
      </c>
      <c r="H270" s="154"/>
      <c r="I270" s="148"/>
      <c r="J270" s="148"/>
      <c r="K270" s="1"/>
      <c r="L270" s="1"/>
      <c r="M270" s="1"/>
      <c r="N270" s="1"/>
      <c r="O270" s="1"/>
      <c r="P270" s="1"/>
      <c r="Q270" s="1"/>
      <c r="R270" s="1"/>
    </row>
    <row r="271" spans="1:18" ht="13.5" customHeight="1">
      <c r="A271" s="5"/>
      <c r="B271" s="1"/>
      <c r="C271" s="1"/>
      <c r="D271" s="154"/>
      <c r="E271" s="494" t="s">
        <v>349</v>
      </c>
      <c r="F271" s="495">
        <f>'E-Costos'!B88*0.012</f>
        <v>4013100</v>
      </c>
      <c r="G271" s="496">
        <f>'E-Costos'!C88*0.012</f>
        <v>4734450</v>
      </c>
      <c r="H271" s="154"/>
      <c r="I271" s="148"/>
      <c r="J271" s="148"/>
      <c r="K271" s="1"/>
      <c r="L271" s="1"/>
      <c r="M271" s="1"/>
      <c r="N271" s="1"/>
      <c r="O271" s="1"/>
      <c r="P271" s="1"/>
      <c r="Q271" s="1"/>
      <c r="R271" s="1"/>
    </row>
    <row r="272" spans="1:18" ht="13.5" customHeight="1">
      <c r="A272" s="5"/>
      <c r="B272" s="1"/>
      <c r="C272" s="1"/>
      <c r="D272" s="154"/>
      <c r="E272" s="497" t="s">
        <v>192</v>
      </c>
      <c r="F272" s="498">
        <f t="shared" ref="F272:G272" si="67">+SUM(F268:F271)</f>
        <v>4165024.6187392627</v>
      </c>
      <c r="G272" s="498">
        <f t="shared" si="67"/>
        <v>4910419.6187392622</v>
      </c>
      <c r="H272" s="154"/>
      <c r="I272" s="148"/>
      <c r="J272" s="148"/>
      <c r="K272" s="1"/>
      <c r="L272" s="1"/>
      <c r="M272" s="1"/>
      <c r="N272" s="1"/>
      <c r="O272" s="1"/>
      <c r="P272" s="1"/>
      <c r="Q272" s="1"/>
      <c r="R272" s="1"/>
    </row>
    <row r="273" spans="1:18" ht="12.75" customHeight="1">
      <c r="A273" s="5"/>
      <c r="B273" s="1"/>
      <c r="C273" s="1"/>
      <c r="D273" s="154"/>
      <c r="E273" s="499"/>
      <c r="F273" s="500"/>
      <c r="G273" s="154"/>
      <c r="H273" s="154"/>
      <c r="I273" s="148"/>
      <c r="J273" s="148"/>
      <c r="K273" s="1"/>
      <c r="L273" s="1"/>
      <c r="M273" s="1"/>
      <c r="N273" s="1"/>
      <c r="O273" s="1"/>
      <c r="P273" s="1"/>
      <c r="Q273" s="1"/>
      <c r="R273" s="1"/>
    </row>
    <row r="274" spans="1:18" ht="12.75" customHeight="1">
      <c r="A274" s="5"/>
      <c r="B274" s="1"/>
      <c r="C274" s="1"/>
      <c r="D274" s="1"/>
      <c r="E274" s="480" t="s">
        <v>244</v>
      </c>
      <c r="F274" s="148"/>
      <c r="G274" s="148"/>
      <c r="H274" s="148"/>
      <c r="I274" s="148"/>
      <c r="J274" s="148"/>
      <c r="K274" s="1"/>
      <c r="L274" s="1"/>
      <c r="M274" s="1"/>
      <c r="N274" s="1"/>
      <c r="O274" s="1"/>
      <c r="P274" s="1"/>
      <c r="Q274" s="1"/>
      <c r="R274" s="1"/>
    </row>
    <row r="275" spans="1:18" ht="12.75" customHeight="1">
      <c r="A275" s="5"/>
      <c r="B275" s="1"/>
      <c r="C275" s="1"/>
      <c r="D275" s="1"/>
      <c r="E275" s="481" t="s">
        <v>350</v>
      </c>
      <c r="F275" s="482">
        <f>E19*0.015</f>
        <v>36000</v>
      </c>
      <c r="G275" s="148"/>
      <c r="H275" s="148"/>
      <c r="I275" s="148"/>
      <c r="J275" s="148"/>
      <c r="K275" s="1"/>
      <c r="L275" s="1"/>
      <c r="M275" s="1"/>
      <c r="N275" s="1"/>
      <c r="O275" s="1"/>
      <c r="P275" s="1"/>
      <c r="Q275" s="1"/>
      <c r="R275" s="1"/>
    </row>
    <row r="276" spans="1:18" ht="12.75" customHeight="1">
      <c r="A276" s="5"/>
      <c r="B276" s="1"/>
      <c r="C276" s="1"/>
      <c r="D276" s="1"/>
      <c r="E276" s="481" t="s">
        <v>351</v>
      </c>
      <c r="F276" s="482">
        <f>'E-Costos'!B88*0.03</f>
        <v>10032750</v>
      </c>
      <c r="G276" s="148"/>
      <c r="H276" s="148"/>
      <c r="I276" s="148"/>
      <c r="J276" s="148"/>
      <c r="K276" s="1"/>
      <c r="L276" s="1"/>
      <c r="M276" s="1"/>
      <c r="N276" s="1"/>
      <c r="O276" s="1"/>
      <c r="P276" s="1"/>
      <c r="Q276" s="1"/>
      <c r="R276" s="1"/>
    </row>
    <row r="277" spans="1:18" ht="12.75" customHeight="1">
      <c r="A277" s="5"/>
      <c r="B277" s="1"/>
      <c r="C277" s="1"/>
      <c r="D277" s="1"/>
      <c r="E277" s="481" t="s">
        <v>352</v>
      </c>
      <c r="F277" s="482">
        <f>'E-Costos'!C88*0.03</f>
        <v>11836125</v>
      </c>
      <c r="G277" s="148"/>
      <c r="H277" s="148"/>
      <c r="I277" s="148"/>
      <c r="J277" s="148"/>
      <c r="K277" s="1"/>
      <c r="L277" s="1"/>
      <c r="M277" s="1"/>
      <c r="N277" s="1"/>
      <c r="O277" s="1"/>
      <c r="P277" s="1"/>
      <c r="Q277" s="1"/>
      <c r="R277" s="1"/>
    </row>
    <row r="278" spans="1:18" ht="12.75" customHeight="1">
      <c r="A278" s="5"/>
      <c r="B278" s="1"/>
      <c r="C278" s="1"/>
      <c r="D278" s="148"/>
      <c r="E278" s="148"/>
      <c r="F278" s="501"/>
      <c r="G278" s="148"/>
      <c r="H278" s="148"/>
      <c r="I278" s="148"/>
      <c r="J278" s="148"/>
      <c r="K278" s="1"/>
      <c r="L278" s="1"/>
      <c r="M278" s="1"/>
      <c r="N278" s="1"/>
      <c r="O278" s="1"/>
      <c r="P278" s="1"/>
      <c r="Q278" s="1"/>
      <c r="R278" s="1"/>
    </row>
    <row r="279" spans="1:18" ht="12.75" customHeight="1">
      <c r="A279" s="5"/>
      <c r="B279" s="1"/>
      <c r="C279" s="167" t="s">
        <v>353</v>
      </c>
      <c r="D279" s="148"/>
      <c r="E279" s="502" t="s">
        <v>354</v>
      </c>
      <c r="F279" s="503">
        <v>36000000</v>
      </c>
      <c r="G279" s="396" t="s">
        <v>355</v>
      </c>
      <c r="H279" s="148"/>
      <c r="I279" s="148"/>
      <c r="J279" s="148"/>
      <c r="K279" s="148"/>
      <c r="L279" s="1"/>
      <c r="M279" s="1"/>
      <c r="N279" s="1"/>
      <c r="O279" s="1"/>
      <c r="P279" s="1"/>
      <c r="Q279" s="1"/>
      <c r="R279" s="1"/>
    </row>
    <row r="280" spans="1:18" ht="12.75" customHeight="1">
      <c r="D280" s="504"/>
      <c r="E280" s="458" t="s">
        <v>356</v>
      </c>
      <c r="F280" s="503">
        <v>150000</v>
      </c>
      <c r="G280" s="504"/>
      <c r="H280" s="504"/>
      <c r="I280" s="504"/>
      <c r="J280" s="504"/>
      <c r="K280" s="504"/>
    </row>
    <row r="281" spans="1:18" ht="13.5" customHeight="1">
      <c r="D281" s="504"/>
      <c r="E281" s="474" t="s">
        <v>357</v>
      </c>
      <c r="F281" s="505">
        <v>25000</v>
      </c>
      <c r="G281" s="504"/>
      <c r="H281" s="504"/>
      <c r="I281" s="504"/>
      <c r="J281" s="504"/>
      <c r="K281" s="504"/>
    </row>
    <row r="282" spans="1:18" ht="13.5" customHeight="1">
      <c r="D282" s="504"/>
      <c r="E282" s="253" t="s">
        <v>192</v>
      </c>
      <c r="F282" s="506">
        <f>SUM(F279:F281)</f>
        <v>36175000</v>
      </c>
      <c r="G282" s="504"/>
      <c r="H282" s="504"/>
      <c r="I282" s="504"/>
      <c r="J282" s="504"/>
      <c r="K282" s="504"/>
    </row>
    <row r="283" spans="1:18" ht="12.75" customHeight="1">
      <c r="D283" s="504"/>
      <c r="E283" s="504"/>
      <c r="F283" s="504"/>
      <c r="G283" s="504"/>
      <c r="H283" s="504"/>
      <c r="I283" s="504"/>
      <c r="J283" s="504"/>
      <c r="K283" s="504"/>
    </row>
    <row r="284" spans="1:18" ht="12.75" customHeight="1">
      <c r="D284" s="504"/>
      <c r="E284" s="504"/>
      <c r="F284" s="504"/>
      <c r="G284" s="504"/>
      <c r="H284" s="504"/>
      <c r="I284" s="504"/>
      <c r="J284" s="504"/>
      <c r="K284" s="504"/>
    </row>
    <row r="285" spans="1:18" ht="12.75" customHeight="1">
      <c r="D285" s="504"/>
      <c r="E285" s="504"/>
      <c r="F285" s="504"/>
      <c r="G285" s="504"/>
      <c r="H285" s="504"/>
      <c r="I285" s="504"/>
      <c r="J285" s="504"/>
      <c r="K285" s="504"/>
    </row>
    <row r="286" spans="1:18" ht="12.75" customHeight="1">
      <c r="D286" s="504"/>
      <c r="E286" s="504"/>
      <c r="F286" s="504"/>
      <c r="G286" s="504"/>
      <c r="H286" s="504"/>
      <c r="I286" s="504"/>
      <c r="J286" s="504"/>
      <c r="K286" s="504"/>
    </row>
    <row r="287" spans="1:18" ht="12.75" customHeight="1">
      <c r="D287" s="504"/>
      <c r="E287" s="504"/>
      <c r="F287" s="504"/>
      <c r="G287" s="504"/>
      <c r="H287" s="504"/>
      <c r="I287" s="504"/>
      <c r="J287" s="504"/>
      <c r="K287" s="504"/>
    </row>
    <row r="288" spans="1:18" ht="12.75" customHeight="1">
      <c r="G288" s="504"/>
      <c r="H288" s="504"/>
      <c r="I288" s="504"/>
      <c r="J288" s="504"/>
      <c r="K288" s="504"/>
    </row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</sheetData>
  <mergeCells count="25">
    <mergeCell ref="J153:L153"/>
    <mergeCell ref="K189:L189"/>
    <mergeCell ref="K212:L212"/>
    <mergeCell ref="E189:E190"/>
    <mergeCell ref="F189:F190"/>
    <mergeCell ref="E171:E172"/>
    <mergeCell ref="G153:I153"/>
    <mergeCell ref="K171:L171"/>
    <mergeCell ref="F171:F172"/>
    <mergeCell ref="J162:L162"/>
    <mergeCell ref="H167:I167"/>
    <mergeCell ref="G162:I162"/>
    <mergeCell ref="H143:I143"/>
    <mergeCell ref="E200:F200"/>
    <mergeCell ref="G201:H201"/>
    <mergeCell ref="E181:F181"/>
    <mergeCell ref="G182:H182"/>
    <mergeCell ref="H158:I158"/>
    <mergeCell ref="G138:I138"/>
    <mergeCell ref="E98:I98"/>
    <mergeCell ref="E111:I111"/>
    <mergeCell ref="K80:M82"/>
    <mergeCell ref="E125:I125"/>
    <mergeCell ref="E134:I134"/>
    <mergeCell ref="J138:L138"/>
  </mergeCells>
  <hyperlinks>
    <hyperlink ref="F10" r:id="rId1" xr:uid="{00000000-0004-0000-0100-000000000000}"/>
    <hyperlink ref="F11" r:id="rId2" xr:uid="{00000000-0004-0000-0100-000001000000}"/>
    <hyperlink ref="F12" r:id="rId3" xr:uid="{00000000-0004-0000-0100-000002000000}"/>
    <hyperlink ref="F13" r:id="rId4" xr:uid="{00000000-0004-0000-0100-000003000000}"/>
    <hyperlink ref="F15" r:id="rId5" xr:uid="{00000000-0004-0000-0100-000004000000}"/>
    <hyperlink ref="F19" r:id="rId6" xr:uid="{00000000-0004-0000-0100-000005000000}"/>
    <hyperlink ref="K78" r:id="rId7" xr:uid="{00000000-0004-0000-0100-000006000000}"/>
    <hyperlink ref="K79" r:id="rId8" xr:uid="{00000000-0004-0000-0100-000007000000}"/>
    <hyperlink ref="K180" r:id="rId9" xr:uid="{00000000-0004-0000-0100-000008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topLeftCell="A19" workbookViewId="0">
      <selection activeCell="C36" sqref="C36"/>
    </sheetView>
  </sheetViews>
  <sheetFormatPr baseColWidth="10" defaultColWidth="14.42578125" defaultRowHeight="15" customHeight="1"/>
  <cols>
    <col min="1" max="1" width="45.28515625" customWidth="1"/>
    <col min="2" max="6" width="14.7109375" customWidth="1"/>
    <col min="7" max="7" width="11.28515625" customWidth="1"/>
    <col min="8" max="8" width="19.28515625" customWidth="1"/>
    <col min="9" max="9" width="18.42578125" customWidth="1"/>
    <col min="10" max="10" width="15.28515625" customWidth="1"/>
    <col min="11" max="25" width="10" customWidth="1"/>
  </cols>
  <sheetData>
    <row r="1" spans="1:25" ht="12.75" customHeight="1">
      <c r="A1" s="2" t="s">
        <v>67</v>
      </c>
      <c r="E1" s="3">
        <f>InfoInicial!E1</f>
        <v>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 customHeight="1">
      <c r="A3" s="41" t="s">
        <v>68</v>
      </c>
      <c r="B3" s="934" t="s">
        <v>69</v>
      </c>
      <c r="C3" s="935"/>
      <c r="D3" s="934" t="s">
        <v>70</v>
      </c>
      <c r="E3" s="936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15.75" customHeight="1">
      <c r="A4" s="43"/>
      <c r="B4" s="44" t="s">
        <v>71</v>
      </c>
      <c r="C4" s="44" t="s">
        <v>72</v>
      </c>
      <c r="D4" s="44" t="s">
        <v>71</v>
      </c>
      <c r="E4" s="45" t="s">
        <v>72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ht="12.75" customHeight="1">
      <c r="A5" s="46"/>
      <c r="B5" s="47"/>
      <c r="C5" s="47"/>
      <c r="D5" s="47"/>
      <c r="E5" s="47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2.75" customHeight="1">
      <c r="A6" s="48" t="s">
        <v>73</v>
      </c>
      <c r="B6" s="49"/>
      <c r="C6" s="49"/>
      <c r="D6" s="49"/>
      <c r="E6" s="4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12.75" customHeight="1">
      <c r="A7" s="50" t="s">
        <v>74</v>
      </c>
      <c r="B7" s="51">
        <f>+'Calculos auxiliares'!E4</f>
        <v>3000000</v>
      </c>
      <c r="C7" s="51"/>
      <c r="D7" s="51"/>
      <c r="E7" s="51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12.75" customHeight="1">
      <c r="A8" s="50" t="s">
        <v>75</v>
      </c>
      <c r="B8" s="51">
        <f>+'Calculos auxiliares'!E7</f>
        <v>4479314.2944999998</v>
      </c>
      <c r="C8" s="51"/>
      <c r="D8" s="51"/>
      <c r="E8" s="51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2.75" customHeight="1">
      <c r="A9" s="50" t="s">
        <v>76</v>
      </c>
      <c r="B9" s="51">
        <f>+B8*0.8</f>
        <v>3583451.4356</v>
      </c>
      <c r="C9" s="51"/>
      <c r="D9" s="51"/>
      <c r="E9" s="5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2.75" customHeight="1">
      <c r="A10" s="50" t="s">
        <v>77</v>
      </c>
      <c r="B10" s="51"/>
      <c r="C10" s="51"/>
      <c r="D10" s="51"/>
      <c r="E10" s="5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2.75" customHeight="1">
      <c r="A11" s="50" t="s">
        <v>78</v>
      </c>
      <c r="B11" s="51">
        <v>0</v>
      </c>
      <c r="C11" s="51"/>
      <c r="D11" s="51"/>
      <c r="E11" s="51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2.75" customHeight="1">
      <c r="A12" s="50" t="s">
        <v>79</v>
      </c>
      <c r="B12" s="51">
        <f>+'Calculos auxiliares'!E16</f>
        <v>2095583</v>
      </c>
      <c r="C12" s="51"/>
      <c r="D12" s="51"/>
      <c r="E12" s="51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2.75" customHeight="1">
      <c r="A13" s="52" t="s">
        <v>80</v>
      </c>
      <c r="B13" s="51">
        <v>0</v>
      </c>
      <c r="C13" s="51"/>
      <c r="D13" s="51"/>
      <c r="E13" s="5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2.75" customHeight="1">
      <c r="A14" s="50" t="s">
        <v>81</v>
      </c>
      <c r="B14" s="51">
        <f>3*6000+0.02*'Calculos auxiliares'!E16</f>
        <v>59911.66</v>
      </c>
      <c r="C14" s="51"/>
      <c r="D14" s="51"/>
      <c r="E14" s="51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.75" customHeight="1">
      <c r="A15" s="50" t="s">
        <v>82</v>
      </c>
      <c r="B15" s="51">
        <f>+'Calculos auxiliares'!E19</f>
        <v>2400000</v>
      </c>
      <c r="C15" s="51"/>
      <c r="D15" s="51"/>
      <c r="E15" s="5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.75" customHeight="1">
      <c r="A16" s="50" t="s">
        <v>84</v>
      </c>
      <c r="B16" s="51">
        <f>'Calculos auxiliares'!E53</f>
        <v>307580</v>
      </c>
      <c r="C16" s="51"/>
      <c r="D16" s="51"/>
      <c r="E16" s="51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2.75" customHeight="1">
      <c r="A17" s="50" t="s">
        <v>86</v>
      </c>
      <c r="B17" s="54">
        <v>0</v>
      </c>
      <c r="C17" s="51"/>
      <c r="D17" s="51"/>
      <c r="E17" s="51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2.75" customHeight="1">
      <c r="A18" s="50" t="s">
        <v>34</v>
      </c>
      <c r="B18" s="51">
        <f>SUM(B7:B17)*InfoInicial!B15</f>
        <v>1194438.0292575001</v>
      </c>
      <c r="C18" s="51"/>
      <c r="D18" s="51"/>
      <c r="E18" s="51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2.75" customHeight="1">
      <c r="A19" s="58"/>
      <c r="B19" s="59"/>
      <c r="C19" s="59"/>
      <c r="D19" s="59"/>
      <c r="E19" s="5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2.75" customHeight="1">
      <c r="A20" s="60" t="s">
        <v>89</v>
      </c>
      <c r="B20" s="62">
        <f>SUM(B7:B18)</f>
        <v>17120278.419357501</v>
      </c>
      <c r="C20" s="62"/>
      <c r="D20" s="62"/>
      <c r="E20" s="62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2.75" customHeight="1">
      <c r="A21" s="46"/>
      <c r="B21" s="63"/>
      <c r="C21" s="63"/>
      <c r="D21" s="63"/>
      <c r="E21" s="63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.75" customHeight="1">
      <c r="A22" s="48" t="s">
        <v>93</v>
      </c>
      <c r="B22" s="51"/>
      <c r="C22" s="51"/>
      <c r="D22" s="51"/>
      <c r="E22" s="5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2.75" customHeight="1">
      <c r="A23" s="50" t="s">
        <v>94</v>
      </c>
      <c r="B23" s="54">
        <v>60000</v>
      </c>
      <c r="C23" s="51"/>
      <c r="D23" s="51"/>
      <c r="E23" s="51"/>
      <c r="F23" s="65" t="s">
        <v>95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.75" customHeight="1">
      <c r="A24" s="50" t="s">
        <v>97</v>
      </c>
      <c r="B24" s="54">
        <v>50000</v>
      </c>
      <c r="C24" s="51"/>
      <c r="D24" s="51"/>
      <c r="E24" s="5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.75" customHeight="1">
      <c r="A25" s="50" t="s">
        <v>99</v>
      </c>
      <c r="B25" s="54">
        <v>20000</v>
      </c>
      <c r="C25" s="51"/>
      <c r="D25" s="51"/>
      <c r="E25" s="51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2.75" customHeight="1">
      <c r="A26" s="52" t="s">
        <v>100</v>
      </c>
      <c r="B26" s="51"/>
      <c r="C26" s="51">
        <f>'E-Costos'!G36</f>
        <v>4367863.6019559354</v>
      </c>
      <c r="D26" s="51"/>
      <c r="E26" s="5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.75" customHeight="1">
      <c r="A27" s="52" t="s">
        <v>102</v>
      </c>
      <c r="B27" s="51">
        <f>4300+2350+2350+3800</f>
        <v>12800</v>
      </c>
      <c r="C27" s="51"/>
      <c r="D27" s="51"/>
      <c r="E27" s="51"/>
      <c r="F27" s="68" t="s">
        <v>103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.75" customHeight="1">
      <c r="A28" s="52" t="s">
        <v>104</v>
      </c>
      <c r="B28" s="54">
        <v>0</v>
      </c>
      <c r="C28" s="51"/>
      <c r="D28" s="51"/>
      <c r="E28" s="51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.75" customHeight="1">
      <c r="A29" s="50" t="s">
        <v>34</v>
      </c>
      <c r="B29" s="51">
        <f>SUM(B22:C28)*InfoInicial!B15</f>
        <v>338299.77014669514</v>
      </c>
      <c r="C29" s="51"/>
      <c r="D29" s="51"/>
      <c r="E29" s="51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.75" customHeight="1">
      <c r="A30" s="58"/>
      <c r="B30" s="59"/>
      <c r="C30" s="59"/>
      <c r="D30" s="59"/>
      <c r="E30" s="5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.75" customHeight="1">
      <c r="A31" s="60" t="s">
        <v>109</v>
      </c>
      <c r="B31" s="62">
        <f>SUM(B23:B29)</f>
        <v>481099.77014669514</v>
      </c>
      <c r="C31" s="62">
        <f>SUM(C23:C30)</f>
        <v>4367863.6019559354</v>
      </c>
      <c r="D31" s="62"/>
      <c r="E31" s="62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.75" customHeight="1">
      <c r="A32" s="46"/>
      <c r="B32" s="63"/>
      <c r="C32" s="63"/>
      <c r="D32" s="63"/>
      <c r="E32" s="63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.75" customHeight="1">
      <c r="A33" s="48" t="s">
        <v>112</v>
      </c>
      <c r="B33" s="80">
        <f>B20+B31</f>
        <v>17601378.189504195</v>
      </c>
      <c r="C33" s="51">
        <f>C31</f>
        <v>4367863.6019559354</v>
      </c>
      <c r="D33" s="51"/>
      <c r="E33" s="51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.75" customHeight="1">
      <c r="A34" s="48" t="s">
        <v>114</v>
      </c>
      <c r="B34" s="80">
        <f>(B33)*0.21</f>
        <v>3696289.419795881</v>
      </c>
      <c r="C34" s="51">
        <f>'E-IVA '!C13</f>
        <v>903981.99887509819</v>
      </c>
      <c r="D34" s="51"/>
      <c r="E34" s="5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.75" customHeight="1">
      <c r="A35" s="48"/>
      <c r="B35" s="80"/>
      <c r="C35" s="51"/>
      <c r="D35" s="51"/>
      <c r="E35" s="51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.75" customHeight="1">
      <c r="A36" s="86" t="s">
        <v>119</v>
      </c>
      <c r="B36" s="874">
        <f>+B33+B34</f>
        <v>21297667.609300077</v>
      </c>
      <c r="C36" s="874">
        <f>+C33+C34</f>
        <v>5271845.6008310337</v>
      </c>
      <c r="D36" s="89"/>
      <c r="E36" s="8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.75" customHeight="1">
      <c r="A39" s="92" t="s">
        <v>121</v>
      </c>
      <c r="B39" s="94" t="s">
        <v>122</v>
      </c>
      <c r="C39" s="94" t="s">
        <v>123</v>
      </c>
      <c r="D39" s="934" t="s">
        <v>124</v>
      </c>
      <c r="E39" s="935"/>
      <c r="F39" s="96" t="s">
        <v>125</v>
      </c>
      <c r="G39" s="40"/>
      <c r="H39" s="937" t="s">
        <v>127</v>
      </c>
      <c r="I39" s="937" t="s">
        <v>128</v>
      </c>
      <c r="J39" s="937" t="s">
        <v>129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2.75" customHeight="1">
      <c r="A40" s="97"/>
      <c r="B40" s="44" t="s">
        <v>131</v>
      </c>
      <c r="C40" s="44"/>
      <c r="D40" s="44" t="s">
        <v>132</v>
      </c>
      <c r="E40" s="44" t="s">
        <v>133</v>
      </c>
      <c r="F40" s="98"/>
      <c r="G40" s="40"/>
      <c r="H40" s="938"/>
      <c r="I40" s="938"/>
      <c r="J40" s="938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2.75" customHeight="1">
      <c r="A41" s="99" t="s">
        <v>1</v>
      </c>
      <c r="B41" s="100"/>
      <c r="C41" s="101"/>
      <c r="D41" s="101"/>
      <c r="E41" s="101"/>
      <c r="F41" s="102"/>
      <c r="G41" s="40"/>
      <c r="H41" s="104"/>
      <c r="I41" s="105"/>
      <c r="J41" s="105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.75" customHeight="1">
      <c r="A42" s="106"/>
      <c r="B42" s="107"/>
      <c r="C42" s="63"/>
      <c r="D42" s="63"/>
      <c r="E42" s="63"/>
      <c r="F42" s="108"/>
      <c r="G42" s="40"/>
      <c r="H42" s="104"/>
      <c r="I42" s="105"/>
      <c r="J42" s="105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2.75" customHeight="1">
      <c r="A43" s="50" t="s">
        <v>74</v>
      </c>
      <c r="B43" s="109">
        <f>'Calculos auxiliares'!E4</f>
        <v>3000000</v>
      </c>
      <c r="C43" s="110"/>
      <c r="D43" s="110"/>
      <c r="E43" s="110"/>
      <c r="F43" s="111">
        <v>3000000</v>
      </c>
      <c r="G43" s="40"/>
      <c r="H43" s="112">
        <f>'Calculos auxiliares'!$D$70</f>
        <v>0.58451169552002114</v>
      </c>
      <c r="I43" s="113">
        <f>'Calculos auxiliares'!$D$71</f>
        <v>0.33619664331967752</v>
      </c>
      <c r="J43" s="113">
        <f>'Calculos auxiliares'!$D$72</f>
        <v>7.9291661160301299E-2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2.75" customHeight="1">
      <c r="A44" s="114" t="s">
        <v>75</v>
      </c>
      <c r="B44" s="115">
        <f>'Calculos auxiliares'!E7</f>
        <v>4479314.2944999998</v>
      </c>
      <c r="C44" s="116">
        <f>1/InfoInicial!B8</f>
        <v>3.3333333333333333E-2</v>
      </c>
      <c r="D44" s="110">
        <f t="shared" ref="D44:D50" si="0">B44*C44</f>
        <v>149310.47648333333</v>
      </c>
      <c r="E44" s="110">
        <f t="shared" ref="E44:E48" si="1">B44*C44</f>
        <v>149310.47648333333</v>
      </c>
      <c r="F44" s="117">
        <f t="shared" ref="F44:F50" si="2">B44-D44*3-E44*2</f>
        <v>3732761.9120833329</v>
      </c>
      <c r="G44" s="40"/>
      <c r="H44" s="112">
        <f>'Calculos auxiliares'!$D$70</f>
        <v>0.58451169552002114</v>
      </c>
      <c r="I44" s="113">
        <f>'Calculos auxiliares'!$D$71</f>
        <v>0.33619664331967752</v>
      </c>
      <c r="J44" s="113">
        <f>'Calculos auxiliares'!$D$72</f>
        <v>7.9291661160301299E-2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2.75" customHeight="1">
      <c r="A45" s="50" t="s">
        <v>76</v>
      </c>
      <c r="B45" s="118">
        <f>B9</f>
        <v>3583451.4356</v>
      </c>
      <c r="C45" s="119">
        <f>1/InfoInicial!B9</f>
        <v>0.1</v>
      </c>
      <c r="D45" s="110">
        <f t="shared" si="0"/>
        <v>358345.14356</v>
      </c>
      <c r="E45" s="110">
        <f t="shared" si="1"/>
        <v>358345.14356</v>
      </c>
      <c r="F45" s="117">
        <f t="shared" si="2"/>
        <v>1791725.7178000002</v>
      </c>
      <c r="G45" s="40"/>
      <c r="H45" s="112">
        <f>'Calculos auxiliares'!$D$70</f>
        <v>0.58451169552002114</v>
      </c>
      <c r="I45" s="113">
        <f>'Calculos auxiliares'!$D$71</f>
        <v>0.33619664331967752</v>
      </c>
      <c r="J45" s="113">
        <f>'Calculos auxiliares'!$D$72</f>
        <v>7.9291661160301299E-2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2.75" customHeight="1">
      <c r="A46" s="52" t="s">
        <v>77</v>
      </c>
      <c r="B46" s="120">
        <f>B12+B14-'Calculos auxiliares'!E65</f>
        <v>2133514.66</v>
      </c>
      <c r="C46" s="119">
        <f>1/InfoInicial!B10</f>
        <v>0.1</v>
      </c>
      <c r="D46" s="110">
        <f t="shared" si="0"/>
        <v>213351.46600000001</v>
      </c>
      <c r="E46" s="110">
        <f t="shared" si="1"/>
        <v>213351.46600000001</v>
      </c>
      <c r="F46" s="117">
        <f t="shared" si="2"/>
        <v>1066757.33</v>
      </c>
      <c r="G46" s="40"/>
      <c r="H46" s="112">
        <v>1</v>
      </c>
      <c r="I46" s="113">
        <v>0</v>
      </c>
      <c r="J46" s="113">
        <v>0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2.75" customHeight="1">
      <c r="A47" s="52" t="s">
        <v>82</v>
      </c>
      <c r="B47" s="120">
        <f>'Calculos auxiliares'!E19</f>
        <v>2400000</v>
      </c>
      <c r="C47" s="119">
        <f>1/InfoInicial!B11</f>
        <v>0.2</v>
      </c>
      <c r="D47" s="110">
        <f t="shared" si="0"/>
        <v>480000</v>
      </c>
      <c r="E47" s="110">
        <f t="shared" si="1"/>
        <v>480000</v>
      </c>
      <c r="F47" s="117">
        <f t="shared" si="2"/>
        <v>0</v>
      </c>
      <c r="G47" s="40"/>
      <c r="H47" s="112">
        <v>0</v>
      </c>
      <c r="I47" s="113">
        <v>0</v>
      </c>
      <c r="J47" s="113">
        <v>1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2.75" customHeight="1">
      <c r="A48" s="52" t="s">
        <v>84</v>
      </c>
      <c r="B48" s="121">
        <f>'Calculos auxiliares'!E53</f>
        <v>307580</v>
      </c>
      <c r="C48" s="119">
        <f>1/InfoInicial!B12</f>
        <v>0.2</v>
      </c>
      <c r="D48" s="110">
        <f t="shared" si="0"/>
        <v>61516</v>
      </c>
      <c r="E48" s="110">
        <f t="shared" si="1"/>
        <v>61516</v>
      </c>
      <c r="F48" s="117">
        <f t="shared" si="2"/>
        <v>0</v>
      </c>
      <c r="G48" s="40"/>
      <c r="H48" s="112">
        <f>'Calculos auxiliares'!H54</f>
        <v>0.51394759087066777</v>
      </c>
      <c r="I48" s="113">
        <f>'Calculos auxiliares'!F54</f>
        <v>0.31699070160608622</v>
      </c>
      <c r="J48" s="113">
        <f>'Calculos auxiliares'!G54</f>
        <v>0.17003706352818779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2.75" customHeight="1">
      <c r="A49" s="52" t="s">
        <v>34</v>
      </c>
      <c r="B49" s="120">
        <f>B18</f>
        <v>1194438.0292575001</v>
      </c>
      <c r="C49" s="119">
        <f>1/InfoInicial!B13</f>
        <v>0.33333333333333331</v>
      </c>
      <c r="D49" s="110">
        <f t="shared" si="0"/>
        <v>398146.00975249999</v>
      </c>
      <c r="E49" s="111">
        <v>0</v>
      </c>
      <c r="F49" s="117">
        <f t="shared" si="2"/>
        <v>0</v>
      </c>
      <c r="G49" s="40"/>
      <c r="H49" s="112">
        <f t="shared" ref="H49:J49" si="3">SUMPRODUCT(B43:B48,H43:H48)/SUM(B43:B48)</f>
        <v>0.55067828811508246</v>
      </c>
      <c r="I49" s="112">
        <f t="shared" si="3"/>
        <v>0.1708805675218541</v>
      </c>
      <c r="J49" s="112">
        <f t="shared" si="3"/>
        <v>0.420358933058261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.75" customHeight="1">
      <c r="A50" s="52" t="s">
        <v>156</v>
      </c>
      <c r="B50" s="121">
        <f>'Calculos auxiliares'!E65</f>
        <v>21980</v>
      </c>
      <c r="C50" s="119">
        <f>1/InfoInicial!B13</f>
        <v>0.33333333333333331</v>
      </c>
      <c r="D50" s="110">
        <f t="shared" si="0"/>
        <v>7326.6666666666661</v>
      </c>
      <c r="E50" s="111">
        <v>0</v>
      </c>
      <c r="F50" s="117">
        <f t="shared" si="2"/>
        <v>0</v>
      </c>
      <c r="G50" s="40"/>
      <c r="H50" s="112">
        <v>1</v>
      </c>
      <c r="I50" s="113">
        <v>0</v>
      </c>
      <c r="J50" s="113">
        <v>0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.75" customHeight="1">
      <c r="A51" s="124" t="s">
        <v>157</v>
      </c>
      <c r="B51" s="126">
        <f>SUM(B43:B50)</f>
        <v>17120278.419357501</v>
      </c>
      <c r="C51" s="127"/>
      <c r="D51" s="129">
        <f t="shared" ref="D51:E51" si="4">SUM(D44:D50)</f>
        <v>1667995.7624625002</v>
      </c>
      <c r="E51" s="129">
        <f t="shared" si="4"/>
        <v>1262523.0860433334</v>
      </c>
      <c r="F51" s="130">
        <f>SUM(F43:F50)</f>
        <v>9591244.9598833341</v>
      </c>
      <c r="G51" s="40"/>
      <c r="H51" s="104"/>
      <c r="I51" s="105"/>
      <c r="J51" s="105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2.75" customHeight="1">
      <c r="A52" s="50"/>
      <c r="B52" s="131"/>
      <c r="C52" s="131"/>
      <c r="D52" s="110"/>
      <c r="E52" s="110"/>
      <c r="F52" s="117"/>
      <c r="G52" s="40"/>
      <c r="H52" s="104"/>
      <c r="I52" s="105"/>
      <c r="J52" s="105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12.75" customHeight="1">
      <c r="A53" s="124" t="s">
        <v>159</v>
      </c>
      <c r="B53" s="127">
        <f>B31+C31</f>
        <v>4848963.3721026303</v>
      </c>
      <c r="C53" s="133">
        <f>1/InfoInicial!B14</f>
        <v>0.2</v>
      </c>
      <c r="D53" s="127">
        <f>B53*C53</f>
        <v>969792.67442052613</v>
      </c>
      <c r="E53" s="127">
        <f>B53*C53</f>
        <v>969792.67442052613</v>
      </c>
      <c r="F53" s="130">
        <f>+B53-D53*3-E53*2</f>
        <v>0</v>
      </c>
      <c r="G53" s="40"/>
      <c r="H53" s="112">
        <f t="shared" ref="H53:J53" si="5">H43</f>
        <v>0.58451169552002114</v>
      </c>
      <c r="I53" s="113">
        <f t="shared" si="5"/>
        <v>0.33619664331967752</v>
      </c>
      <c r="J53" s="113">
        <f t="shared" si="5"/>
        <v>7.9291661160301299E-2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12.75" customHeight="1">
      <c r="A54" s="124"/>
      <c r="B54" s="110"/>
      <c r="C54" s="110"/>
      <c r="D54" s="110"/>
      <c r="E54" s="110"/>
      <c r="F54" s="117"/>
      <c r="G54" s="40"/>
      <c r="H54" s="104"/>
      <c r="I54" s="105"/>
      <c r="J54" s="105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2.75" customHeight="1">
      <c r="A55" s="48"/>
      <c r="B55" s="110"/>
      <c r="C55" s="110"/>
      <c r="D55" s="139"/>
      <c r="E55" s="131"/>
      <c r="F55" s="141"/>
      <c r="G55" s="143"/>
      <c r="H55" s="144"/>
      <c r="I55" s="105"/>
      <c r="J55" s="105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2.75" customHeight="1">
      <c r="A56" s="86" t="s">
        <v>167</v>
      </c>
      <c r="B56" s="145">
        <f>B51+B53</f>
        <v>21969241.79146013</v>
      </c>
      <c r="C56" s="145"/>
      <c r="D56" s="145">
        <f t="shared" ref="D56:E56" si="6">D51+D53</f>
        <v>2637788.4368830263</v>
      </c>
      <c r="E56" s="145">
        <f t="shared" si="6"/>
        <v>2232315.7604638594</v>
      </c>
      <c r="F56" s="149">
        <f>-(F51+F53)</f>
        <v>-9591244.9598833341</v>
      </c>
      <c r="G56" s="151"/>
      <c r="H56" s="152"/>
      <c r="I56" s="153"/>
      <c r="J56" s="153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5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5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25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25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spans="1:25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spans="1:25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5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:25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spans="1:25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</row>
    <row r="105" spans="1:25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</row>
    <row r="106" spans="1:25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</row>
    <row r="107" spans="1:25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:25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:25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:25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</row>
    <row r="111" spans="1:25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</row>
    <row r="112" spans="1:25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:25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5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5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:25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spans="1:25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spans="1:25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1:25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spans="1:25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1:25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1:25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spans="1:25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1:25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spans="1:25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spans="1:25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0" spans="1:25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</row>
    <row r="131" spans="1:25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:25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33" spans="1:25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spans="1:25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1:25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1:25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spans="1:25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1:25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spans="1:25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</row>
    <row r="140" spans="1:25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</row>
    <row r="141" spans="1:25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</row>
    <row r="142" spans="1:25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1:25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1:25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1:25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1:25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1:25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</row>
    <row r="150" spans="1:25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</row>
    <row r="151" spans="1:25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</row>
    <row r="152" spans="1:25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</row>
    <row r="153" spans="1:25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</row>
    <row r="154" spans="1:25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</row>
    <row r="155" spans="1:25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</row>
    <row r="156" spans="1:25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</row>
    <row r="157" spans="1:25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</row>
    <row r="158" spans="1:25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</row>
    <row r="159" spans="1:25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</row>
    <row r="160" spans="1:25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</row>
    <row r="161" spans="1:25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</row>
    <row r="162" spans="1:25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</row>
    <row r="163" spans="1:25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</row>
    <row r="164" spans="1:25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</row>
    <row r="165" spans="1:25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</row>
    <row r="166" spans="1:25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</row>
    <row r="167" spans="1:25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</row>
    <row r="168" spans="1:25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</row>
    <row r="169" spans="1:25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</row>
    <row r="170" spans="1:25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</row>
    <row r="171" spans="1:25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</row>
    <row r="172" spans="1:25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1:25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1:25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</row>
    <row r="175" spans="1:25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</row>
    <row r="176" spans="1:25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</row>
    <row r="177" spans="1:25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</row>
    <row r="178" spans="1:25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</row>
    <row r="179" spans="1:25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</row>
    <row r="180" spans="1:25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</row>
    <row r="181" spans="1:25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</row>
    <row r="182" spans="1:25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</row>
    <row r="185" spans="1:25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</row>
    <row r="186" spans="1:25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</row>
    <row r="187" spans="1:25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</row>
    <row r="188" spans="1:25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</row>
    <row r="189" spans="1:25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</row>
    <row r="190" spans="1:25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</row>
    <row r="191" spans="1:25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</row>
    <row r="192" spans="1:25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5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</row>
    <row r="194" spans="1:25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</row>
    <row r="195" spans="1:25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</row>
    <row r="196" spans="1:25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</row>
    <row r="197" spans="1:25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</row>
    <row r="198" spans="1:25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5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spans="1:25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</row>
    <row r="201" spans="1:25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</row>
    <row r="202" spans="1:25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spans="1:25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spans="1:25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5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spans="1:25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spans="1:25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spans="1:25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1:25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</row>
    <row r="210" spans="1:25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5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</row>
    <row r="212" spans="1:25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</row>
    <row r="213" spans="1:25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</row>
    <row r="214" spans="1:25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</row>
    <row r="215" spans="1:25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</row>
    <row r="216" spans="1:25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</row>
    <row r="217" spans="1:25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</row>
    <row r="224" spans="1:25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</row>
    <row r="225" spans="1:25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</row>
    <row r="226" spans="1:25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</row>
    <row r="227" spans="1:25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</row>
    <row r="228" spans="1:25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</row>
    <row r="229" spans="1:25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</row>
    <row r="230" spans="1:25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</row>
    <row r="231" spans="1:25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</row>
    <row r="232" spans="1:25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</row>
    <row r="233" spans="1:25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</row>
    <row r="234" spans="1:25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</row>
    <row r="235" spans="1:25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</row>
    <row r="236" spans="1:25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</row>
    <row r="237" spans="1:25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</row>
    <row r="238" spans="1:25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</row>
    <row r="239" spans="1:25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</row>
    <row r="240" spans="1:25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</row>
    <row r="241" spans="1:25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</row>
    <row r="242" spans="1:25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</row>
    <row r="243" spans="1:25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</row>
    <row r="244" spans="1:25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</row>
    <row r="245" spans="1:25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</row>
    <row r="246" spans="1:25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</row>
    <row r="247" spans="1:25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</row>
    <row r="248" spans="1:25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</row>
    <row r="249" spans="1:25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</row>
    <row r="250" spans="1:25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</row>
    <row r="251" spans="1:25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</row>
    <row r="252" spans="1:25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3" spans="1:25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</row>
    <row r="254" spans="1:25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</row>
    <row r="255" spans="1:25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</row>
    <row r="256" spans="1:25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</row>
    <row r="257" spans="1:25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</row>
    <row r="258" spans="1:25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</row>
    <row r="259" spans="1:25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</row>
    <row r="260" spans="1:25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</row>
    <row r="261" spans="1:25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</row>
    <row r="262" spans="1:25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</row>
    <row r="263" spans="1:25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</row>
    <row r="264" spans="1:25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</row>
    <row r="265" spans="1:25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</row>
    <row r="266" spans="1:25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</row>
    <row r="267" spans="1:25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</row>
    <row r="268" spans="1:25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</row>
    <row r="269" spans="1:25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</row>
    <row r="270" spans="1:25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</row>
    <row r="271" spans="1:25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</row>
    <row r="272" spans="1:25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</row>
    <row r="273" spans="1:25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</row>
    <row r="274" spans="1:25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</row>
    <row r="275" spans="1:25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</row>
    <row r="276" spans="1:25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</row>
    <row r="277" spans="1:25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</row>
    <row r="278" spans="1:25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</row>
    <row r="279" spans="1:25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</row>
    <row r="280" spans="1:25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</row>
    <row r="281" spans="1:25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</row>
    <row r="282" spans="1:25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</row>
    <row r="283" spans="1:25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</row>
    <row r="284" spans="1:25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</row>
    <row r="285" spans="1:25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</row>
    <row r="286" spans="1:25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</row>
    <row r="287" spans="1:25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</row>
    <row r="294" spans="1:25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</row>
    <row r="295" spans="1:25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</row>
    <row r="296" spans="1:25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</row>
    <row r="297" spans="1:25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</row>
    <row r="298" spans="1:25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</row>
    <row r="299" spans="1:25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</row>
    <row r="300" spans="1:25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</row>
    <row r="301" spans="1:25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</row>
    <row r="302" spans="1:25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</row>
    <row r="303" spans="1:25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</row>
    <row r="304" spans="1:25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</row>
    <row r="305" spans="1:25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</row>
    <row r="306" spans="1:25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</row>
    <row r="307" spans="1:25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</row>
    <row r="308" spans="1:25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</row>
    <row r="309" spans="1:25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</row>
    <row r="310" spans="1:25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</row>
    <row r="311" spans="1:25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</row>
    <row r="312" spans="1:25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</row>
    <row r="313" spans="1:25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</row>
    <row r="314" spans="1:25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</row>
    <row r="315" spans="1:25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</row>
    <row r="316" spans="1:25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</row>
    <row r="317" spans="1:25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</row>
    <row r="318" spans="1:25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</row>
    <row r="319" spans="1:25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</row>
    <row r="320" spans="1:25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</row>
    <row r="321" spans="1:25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</row>
    <row r="322" spans="1:25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</row>
    <row r="323" spans="1:25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</row>
    <row r="324" spans="1:25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</row>
    <row r="325" spans="1:25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</row>
    <row r="326" spans="1:25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</row>
    <row r="327" spans="1:25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</row>
    <row r="328" spans="1:25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</row>
    <row r="329" spans="1:25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</row>
    <row r="330" spans="1:25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</row>
    <row r="331" spans="1:25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</row>
    <row r="332" spans="1:25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</row>
    <row r="333" spans="1:25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</row>
    <row r="334" spans="1:25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</row>
    <row r="335" spans="1:25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</row>
    <row r="336" spans="1:25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</row>
    <row r="337" spans="1:25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</row>
    <row r="338" spans="1:25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</row>
    <row r="339" spans="1:25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</row>
    <row r="340" spans="1:25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</row>
    <row r="341" spans="1:25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</row>
    <row r="342" spans="1:25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</row>
    <row r="343" spans="1:25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</row>
    <row r="344" spans="1:25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</row>
    <row r="345" spans="1:25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</row>
    <row r="346" spans="1:25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</row>
    <row r="347" spans="1:25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</row>
    <row r="348" spans="1:25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</row>
    <row r="349" spans="1:25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</row>
    <row r="350" spans="1:25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</row>
    <row r="351" spans="1:25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</row>
    <row r="352" spans="1:25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</row>
    <row r="353" spans="1:25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</row>
    <row r="354" spans="1:25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</row>
    <row r="355" spans="1:25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</row>
    <row r="356" spans="1:25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</row>
    <row r="357" spans="1:25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</row>
    <row r="358" spans="1:25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</row>
    <row r="359" spans="1:25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</row>
    <row r="360" spans="1:25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</row>
    <row r="361" spans="1:25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</row>
    <row r="362" spans="1:25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</row>
    <row r="363" spans="1:25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</row>
    <row r="364" spans="1:25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</row>
    <row r="365" spans="1:25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</row>
    <row r="366" spans="1:25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</row>
    <row r="367" spans="1:25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</row>
    <row r="368" spans="1:25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</row>
    <row r="369" spans="1:25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</row>
    <row r="370" spans="1:25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</row>
    <row r="371" spans="1:25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</row>
    <row r="372" spans="1:25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</row>
    <row r="373" spans="1:25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</row>
    <row r="374" spans="1:25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</row>
    <row r="375" spans="1:25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</row>
    <row r="376" spans="1:25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</row>
    <row r="377" spans="1:25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</row>
    <row r="378" spans="1:25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</row>
    <row r="379" spans="1:25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</row>
    <row r="380" spans="1:25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</row>
    <row r="381" spans="1:25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</row>
    <row r="382" spans="1:25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</row>
    <row r="383" spans="1:25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</row>
    <row r="384" spans="1:25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</row>
    <row r="385" spans="1:25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</row>
    <row r="386" spans="1:25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</row>
    <row r="387" spans="1:25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</row>
    <row r="388" spans="1:25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</row>
    <row r="389" spans="1:25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</row>
    <row r="390" spans="1:25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</row>
    <row r="391" spans="1:25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</row>
    <row r="392" spans="1:25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</row>
    <row r="393" spans="1:25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</row>
    <row r="394" spans="1:25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</row>
    <row r="395" spans="1:25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</row>
    <row r="396" spans="1:25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</row>
    <row r="397" spans="1:25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</row>
    <row r="398" spans="1:25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</row>
    <row r="399" spans="1:25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</row>
    <row r="400" spans="1:25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</row>
    <row r="401" spans="1:25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</row>
    <row r="402" spans="1:25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</row>
    <row r="403" spans="1:25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</row>
    <row r="404" spans="1:25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</row>
    <row r="405" spans="1:25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</row>
    <row r="406" spans="1:25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</row>
    <row r="407" spans="1:25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</row>
    <row r="408" spans="1:25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</row>
    <row r="409" spans="1:25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</row>
    <row r="410" spans="1:25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</row>
    <row r="411" spans="1:25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</row>
    <row r="412" spans="1:25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</row>
    <row r="413" spans="1:25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</row>
    <row r="414" spans="1:25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</row>
    <row r="415" spans="1:25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</row>
    <row r="416" spans="1:25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</row>
    <row r="417" spans="1:25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</row>
    <row r="418" spans="1:25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</row>
    <row r="419" spans="1:25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</row>
    <row r="420" spans="1:25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</row>
    <row r="421" spans="1:25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</row>
    <row r="422" spans="1:25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</row>
    <row r="423" spans="1:25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</row>
    <row r="424" spans="1:25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</row>
    <row r="425" spans="1:25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</row>
    <row r="426" spans="1:25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</row>
    <row r="427" spans="1:25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</row>
    <row r="428" spans="1:25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</row>
    <row r="429" spans="1:25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</row>
    <row r="430" spans="1:25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</row>
    <row r="431" spans="1:25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</row>
    <row r="432" spans="1:25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</row>
    <row r="433" spans="1:25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</row>
    <row r="434" spans="1:25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</row>
    <row r="435" spans="1:25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</row>
    <row r="436" spans="1:25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</row>
    <row r="437" spans="1:25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</row>
    <row r="438" spans="1:25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</row>
    <row r="439" spans="1:25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</row>
    <row r="440" spans="1:25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</row>
    <row r="441" spans="1:25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</row>
    <row r="442" spans="1:25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</row>
    <row r="443" spans="1:25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</row>
    <row r="444" spans="1:25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</row>
    <row r="445" spans="1:25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</row>
    <row r="446" spans="1:25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</row>
    <row r="447" spans="1:25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</row>
    <row r="448" spans="1:25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</row>
    <row r="449" spans="1:25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</row>
    <row r="450" spans="1:25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</row>
    <row r="451" spans="1:25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</row>
    <row r="452" spans="1:25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</row>
    <row r="453" spans="1:25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</row>
    <row r="454" spans="1:25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</row>
    <row r="455" spans="1:25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</row>
    <row r="456" spans="1:25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</row>
    <row r="457" spans="1:25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</row>
    <row r="458" spans="1:25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</row>
    <row r="459" spans="1:25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</row>
    <row r="460" spans="1:25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</row>
    <row r="461" spans="1:25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</row>
    <row r="462" spans="1:25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</row>
    <row r="463" spans="1:25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</row>
    <row r="464" spans="1:25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</row>
    <row r="465" spans="1:25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</row>
    <row r="466" spans="1:25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</row>
    <row r="467" spans="1:25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</row>
    <row r="468" spans="1:25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</row>
    <row r="469" spans="1:25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</row>
    <row r="470" spans="1:25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</row>
    <row r="471" spans="1:25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</row>
    <row r="472" spans="1:25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</row>
    <row r="473" spans="1:25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</row>
    <row r="474" spans="1:25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</row>
    <row r="475" spans="1:25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</row>
    <row r="476" spans="1:25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</row>
    <row r="477" spans="1:25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</row>
    <row r="478" spans="1:25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</row>
    <row r="479" spans="1:25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</row>
    <row r="480" spans="1:25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</row>
    <row r="481" spans="1:25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</row>
    <row r="482" spans="1:25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</row>
    <row r="483" spans="1:25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</row>
    <row r="484" spans="1:25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</row>
    <row r="485" spans="1:25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</row>
    <row r="486" spans="1:25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</row>
    <row r="487" spans="1:25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</row>
    <row r="488" spans="1:25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</row>
    <row r="489" spans="1:25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</row>
    <row r="490" spans="1:25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</row>
    <row r="491" spans="1:25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</row>
    <row r="492" spans="1:25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</row>
    <row r="493" spans="1:25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</row>
    <row r="494" spans="1:25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</row>
    <row r="495" spans="1:25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</row>
    <row r="496" spans="1:25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</row>
    <row r="497" spans="1:25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</row>
    <row r="498" spans="1:25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</row>
    <row r="499" spans="1:25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</row>
    <row r="500" spans="1:25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</row>
    <row r="501" spans="1:25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</row>
    <row r="502" spans="1:25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</row>
    <row r="503" spans="1:25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</row>
    <row r="504" spans="1:25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</row>
    <row r="505" spans="1:25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</row>
    <row r="506" spans="1:25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</row>
    <row r="507" spans="1:25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</row>
    <row r="508" spans="1:25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</row>
    <row r="509" spans="1:25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</row>
    <row r="510" spans="1:25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</row>
    <row r="511" spans="1:25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</row>
    <row r="512" spans="1:25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</row>
    <row r="513" spans="1:25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</row>
    <row r="514" spans="1:25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</row>
    <row r="515" spans="1:25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</row>
    <row r="516" spans="1:25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</row>
    <row r="517" spans="1:25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</row>
    <row r="518" spans="1:25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</row>
    <row r="519" spans="1:25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</row>
    <row r="520" spans="1:25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</row>
    <row r="521" spans="1:25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</row>
    <row r="522" spans="1:25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</row>
    <row r="523" spans="1:25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</row>
    <row r="524" spans="1:25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</row>
    <row r="525" spans="1:25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</row>
    <row r="526" spans="1:25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</row>
    <row r="527" spans="1:25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</row>
    <row r="528" spans="1:25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</row>
    <row r="529" spans="1:25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</row>
    <row r="530" spans="1:25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</row>
    <row r="531" spans="1:25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</row>
    <row r="532" spans="1:25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</row>
    <row r="533" spans="1:25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</row>
    <row r="534" spans="1:25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</row>
    <row r="535" spans="1:25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</row>
    <row r="536" spans="1:25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</row>
    <row r="537" spans="1:25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</row>
    <row r="538" spans="1:25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</row>
    <row r="539" spans="1:25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</row>
    <row r="540" spans="1:25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</row>
    <row r="541" spans="1:25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</row>
    <row r="542" spans="1:25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</row>
    <row r="543" spans="1:25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</row>
    <row r="544" spans="1:25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</row>
    <row r="545" spans="1:25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</row>
    <row r="546" spans="1:25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</row>
    <row r="547" spans="1:25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</row>
    <row r="548" spans="1:25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</row>
    <row r="549" spans="1:25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</row>
    <row r="550" spans="1:25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</row>
    <row r="551" spans="1:25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</row>
    <row r="552" spans="1:25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</row>
    <row r="553" spans="1:25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</row>
    <row r="554" spans="1:25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</row>
    <row r="555" spans="1:25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</row>
    <row r="556" spans="1:25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</row>
    <row r="557" spans="1:25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</row>
    <row r="558" spans="1:25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</row>
    <row r="559" spans="1:25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</row>
    <row r="560" spans="1:25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</row>
    <row r="561" spans="1:25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</row>
    <row r="562" spans="1:25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</row>
    <row r="563" spans="1:25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</row>
    <row r="564" spans="1:25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</row>
    <row r="565" spans="1:25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</row>
    <row r="566" spans="1:25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</row>
    <row r="567" spans="1:25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</row>
    <row r="568" spans="1:25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</row>
    <row r="569" spans="1:25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</row>
    <row r="570" spans="1:25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</row>
    <row r="571" spans="1:25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</row>
    <row r="572" spans="1:25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</row>
    <row r="573" spans="1:25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</row>
    <row r="574" spans="1:25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</row>
    <row r="575" spans="1:25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</row>
    <row r="576" spans="1:25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</row>
    <row r="577" spans="1:25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</row>
    <row r="578" spans="1:25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</row>
    <row r="579" spans="1:25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</row>
    <row r="580" spans="1:25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</row>
    <row r="581" spans="1:25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</row>
    <row r="582" spans="1:25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</row>
    <row r="583" spans="1:25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</row>
    <row r="584" spans="1:25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</row>
    <row r="585" spans="1:25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</row>
    <row r="586" spans="1:25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</row>
    <row r="587" spans="1:25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</row>
    <row r="588" spans="1:25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</row>
    <row r="589" spans="1:25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</row>
    <row r="590" spans="1:25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</row>
    <row r="591" spans="1:25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</row>
    <row r="592" spans="1:25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</row>
    <row r="593" spans="1:25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</row>
    <row r="594" spans="1:25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</row>
    <row r="595" spans="1:25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</row>
    <row r="596" spans="1:25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</row>
    <row r="597" spans="1:25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</row>
    <row r="598" spans="1:25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</row>
    <row r="599" spans="1:25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</row>
    <row r="600" spans="1:25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</row>
    <row r="601" spans="1:25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</row>
    <row r="602" spans="1:25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</row>
    <row r="603" spans="1:25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</row>
    <row r="604" spans="1:25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</row>
    <row r="605" spans="1:25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</row>
    <row r="606" spans="1:25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</row>
    <row r="607" spans="1:25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</row>
    <row r="608" spans="1:25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</row>
    <row r="609" spans="1:25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</row>
    <row r="610" spans="1:25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</row>
    <row r="611" spans="1:25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</row>
    <row r="612" spans="1:25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</row>
    <row r="613" spans="1:25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</row>
    <row r="614" spans="1:25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</row>
    <row r="615" spans="1:25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</row>
    <row r="616" spans="1:25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</row>
    <row r="617" spans="1:25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</row>
    <row r="618" spans="1:25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</row>
    <row r="619" spans="1:25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</row>
    <row r="620" spans="1:25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</row>
    <row r="621" spans="1:25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</row>
    <row r="622" spans="1:25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</row>
    <row r="623" spans="1:25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</row>
    <row r="624" spans="1:25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</row>
    <row r="625" spans="1:25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</row>
    <row r="626" spans="1:25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</row>
    <row r="627" spans="1:25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</row>
    <row r="628" spans="1:25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</row>
    <row r="629" spans="1:25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</row>
    <row r="630" spans="1:25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</row>
    <row r="631" spans="1:25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</row>
    <row r="632" spans="1:25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</row>
    <row r="633" spans="1:25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</row>
    <row r="634" spans="1:25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</row>
    <row r="635" spans="1:25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</row>
    <row r="636" spans="1:25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</row>
    <row r="637" spans="1:25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</row>
    <row r="638" spans="1:25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</row>
    <row r="639" spans="1:25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</row>
    <row r="640" spans="1:25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</row>
    <row r="641" spans="1:25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</row>
    <row r="642" spans="1:25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</row>
    <row r="643" spans="1:25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</row>
    <row r="644" spans="1:25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</row>
    <row r="645" spans="1:25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</row>
    <row r="646" spans="1:25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</row>
    <row r="647" spans="1:25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</row>
    <row r="648" spans="1:25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</row>
    <row r="649" spans="1:25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</row>
    <row r="650" spans="1:25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</row>
    <row r="651" spans="1:25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</row>
    <row r="652" spans="1:25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</row>
    <row r="653" spans="1:25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</row>
    <row r="654" spans="1:25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</row>
    <row r="655" spans="1:25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</row>
    <row r="656" spans="1:25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</row>
    <row r="657" spans="1:25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</row>
    <row r="658" spans="1:25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</row>
    <row r="659" spans="1:25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</row>
    <row r="660" spans="1:25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</row>
    <row r="661" spans="1:25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</row>
    <row r="662" spans="1:25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</row>
    <row r="663" spans="1:25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</row>
    <row r="664" spans="1:25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</row>
    <row r="665" spans="1:25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</row>
    <row r="666" spans="1:25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</row>
    <row r="667" spans="1:25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</row>
    <row r="668" spans="1:25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</row>
    <row r="669" spans="1:25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</row>
    <row r="670" spans="1:25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</row>
    <row r="671" spans="1:25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</row>
    <row r="672" spans="1:25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</row>
    <row r="673" spans="1:25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</row>
    <row r="674" spans="1:25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</row>
    <row r="675" spans="1:25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</row>
    <row r="676" spans="1:25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</row>
    <row r="677" spans="1:25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</row>
    <row r="678" spans="1:25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</row>
    <row r="679" spans="1:25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</row>
    <row r="680" spans="1:25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</row>
    <row r="681" spans="1:25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</row>
    <row r="682" spans="1:25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</row>
    <row r="683" spans="1:25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</row>
    <row r="684" spans="1:25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</row>
    <row r="685" spans="1:25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</row>
    <row r="686" spans="1:25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</row>
    <row r="687" spans="1:25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</row>
    <row r="688" spans="1:25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</row>
    <row r="689" spans="1:25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</row>
    <row r="690" spans="1:25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</row>
    <row r="691" spans="1:25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</row>
    <row r="692" spans="1:25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</row>
    <row r="693" spans="1:25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</row>
    <row r="694" spans="1:25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</row>
    <row r="695" spans="1:25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</row>
    <row r="696" spans="1:25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</row>
    <row r="697" spans="1:25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</row>
    <row r="698" spans="1:25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</row>
    <row r="699" spans="1:25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</row>
    <row r="700" spans="1:25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</row>
    <row r="701" spans="1:25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</row>
    <row r="702" spans="1:25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</row>
    <row r="703" spans="1:25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</row>
    <row r="704" spans="1:25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</row>
    <row r="705" spans="1:25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</row>
    <row r="706" spans="1:25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</row>
    <row r="707" spans="1:25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</row>
    <row r="708" spans="1:25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</row>
    <row r="709" spans="1:25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</row>
    <row r="710" spans="1:25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</row>
    <row r="711" spans="1:25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</row>
    <row r="712" spans="1:25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</row>
    <row r="713" spans="1:25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</row>
    <row r="714" spans="1:25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</row>
    <row r="715" spans="1:25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</row>
    <row r="716" spans="1:25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</row>
    <row r="717" spans="1:25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</row>
    <row r="718" spans="1:25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</row>
    <row r="719" spans="1:25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</row>
    <row r="720" spans="1:25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</row>
    <row r="721" spans="1:25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</row>
    <row r="722" spans="1:25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</row>
    <row r="723" spans="1:25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</row>
    <row r="724" spans="1:25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</row>
    <row r="725" spans="1:25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</row>
    <row r="726" spans="1:25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</row>
    <row r="727" spans="1:25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</row>
    <row r="728" spans="1:25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</row>
    <row r="729" spans="1:25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</row>
    <row r="730" spans="1:25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</row>
    <row r="731" spans="1:25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</row>
    <row r="732" spans="1:25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</row>
    <row r="733" spans="1:25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</row>
    <row r="734" spans="1:25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</row>
    <row r="735" spans="1:25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</row>
    <row r="736" spans="1:25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</row>
    <row r="737" spans="1:25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</row>
    <row r="738" spans="1:25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</row>
    <row r="739" spans="1:25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</row>
    <row r="740" spans="1:25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</row>
    <row r="741" spans="1:25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</row>
    <row r="742" spans="1:25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</row>
    <row r="743" spans="1:25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</row>
    <row r="744" spans="1:25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</row>
    <row r="745" spans="1:25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</row>
    <row r="746" spans="1:25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</row>
    <row r="747" spans="1:25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</row>
    <row r="748" spans="1:25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</row>
    <row r="749" spans="1:25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</row>
    <row r="750" spans="1:25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</row>
    <row r="751" spans="1:25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</row>
    <row r="752" spans="1:25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</row>
    <row r="753" spans="1:25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</row>
    <row r="754" spans="1:25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</row>
    <row r="755" spans="1:25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</row>
    <row r="756" spans="1:25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</row>
    <row r="757" spans="1:25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</row>
    <row r="758" spans="1:25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</row>
    <row r="759" spans="1:25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</row>
    <row r="760" spans="1:25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</row>
    <row r="761" spans="1:25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</row>
    <row r="762" spans="1:25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</row>
    <row r="763" spans="1:25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</row>
    <row r="764" spans="1:25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</row>
    <row r="765" spans="1:25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</row>
    <row r="766" spans="1:25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</row>
    <row r="767" spans="1:25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</row>
    <row r="768" spans="1:25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</row>
    <row r="769" spans="1:25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</row>
    <row r="770" spans="1:25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</row>
    <row r="771" spans="1:25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</row>
    <row r="772" spans="1:25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</row>
    <row r="773" spans="1:25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</row>
    <row r="774" spans="1:25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</row>
    <row r="775" spans="1:25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</row>
    <row r="776" spans="1:25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</row>
    <row r="777" spans="1:25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</row>
    <row r="778" spans="1:25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</row>
    <row r="779" spans="1:25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</row>
    <row r="780" spans="1:25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</row>
    <row r="781" spans="1:25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</row>
    <row r="782" spans="1:25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</row>
    <row r="783" spans="1:25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</row>
    <row r="784" spans="1:25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</row>
    <row r="785" spans="1:25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</row>
    <row r="786" spans="1:25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</row>
    <row r="787" spans="1:25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</row>
    <row r="788" spans="1:25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</row>
    <row r="789" spans="1:25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</row>
    <row r="790" spans="1:25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</row>
    <row r="791" spans="1:25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</row>
    <row r="792" spans="1:25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</row>
    <row r="793" spans="1:25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</row>
    <row r="794" spans="1:25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</row>
    <row r="795" spans="1:25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</row>
    <row r="796" spans="1:25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</row>
    <row r="797" spans="1:25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</row>
    <row r="798" spans="1:25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</row>
    <row r="799" spans="1:25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</row>
    <row r="800" spans="1:25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</row>
    <row r="801" spans="1:25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</row>
    <row r="802" spans="1:25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</row>
    <row r="803" spans="1:25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</row>
    <row r="804" spans="1:25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</row>
    <row r="805" spans="1:25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</row>
    <row r="806" spans="1:25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</row>
    <row r="807" spans="1:25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</row>
    <row r="808" spans="1:25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</row>
    <row r="809" spans="1:25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</row>
    <row r="810" spans="1:25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</row>
    <row r="811" spans="1:25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</row>
    <row r="812" spans="1:25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</row>
    <row r="813" spans="1:25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</row>
    <row r="814" spans="1:25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</row>
    <row r="815" spans="1:25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</row>
    <row r="816" spans="1:25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</row>
    <row r="817" spans="1:25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</row>
    <row r="818" spans="1:25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</row>
    <row r="819" spans="1:25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</row>
    <row r="820" spans="1:25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</row>
    <row r="821" spans="1:25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</row>
    <row r="822" spans="1:25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</row>
    <row r="823" spans="1:25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</row>
    <row r="824" spans="1:25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</row>
    <row r="825" spans="1:25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</row>
    <row r="826" spans="1:25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</row>
    <row r="827" spans="1:25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</row>
    <row r="828" spans="1:25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</row>
    <row r="829" spans="1:25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</row>
    <row r="830" spans="1:25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</row>
    <row r="831" spans="1:25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</row>
    <row r="832" spans="1:25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</row>
    <row r="833" spans="1:25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</row>
    <row r="834" spans="1:25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</row>
    <row r="835" spans="1:25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</row>
    <row r="836" spans="1:25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</row>
    <row r="837" spans="1:25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</row>
    <row r="838" spans="1:25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</row>
    <row r="839" spans="1:25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</row>
    <row r="840" spans="1:25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</row>
    <row r="841" spans="1:25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</row>
    <row r="842" spans="1:25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</row>
    <row r="843" spans="1:25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</row>
    <row r="844" spans="1:25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</row>
    <row r="845" spans="1:25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</row>
    <row r="846" spans="1:25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</row>
    <row r="847" spans="1:25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</row>
    <row r="848" spans="1:25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</row>
    <row r="849" spans="1:25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</row>
    <row r="850" spans="1:25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</row>
    <row r="851" spans="1:25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</row>
    <row r="852" spans="1:25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</row>
    <row r="853" spans="1:25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</row>
    <row r="854" spans="1:25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</row>
    <row r="855" spans="1:25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</row>
    <row r="856" spans="1:25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</row>
    <row r="857" spans="1:25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</row>
    <row r="858" spans="1:25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</row>
    <row r="859" spans="1:25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</row>
    <row r="860" spans="1:25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</row>
    <row r="861" spans="1:25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</row>
    <row r="862" spans="1:25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</row>
    <row r="863" spans="1:25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</row>
    <row r="864" spans="1:25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</row>
    <row r="865" spans="1:25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</row>
    <row r="866" spans="1:25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</row>
    <row r="867" spans="1:25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</row>
    <row r="868" spans="1:25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</row>
    <row r="869" spans="1:25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</row>
    <row r="870" spans="1:25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</row>
    <row r="871" spans="1:25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</row>
    <row r="872" spans="1:25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</row>
    <row r="873" spans="1:25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</row>
    <row r="874" spans="1:25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</row>
    <row r="875" spans="1:25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</row>
    <row r="876" spans="1:25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</row>
    <row r="877" spans="1:25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</row>
    <row r="878" spans="1:25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</row>
    <row r="879" spans="1:25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</row>
    <row r="880" spans="1:25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</row>
    <row r="881" spans="1:25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</row>
    <row r="882" spans="1:25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</row>
    <row r="883" spans="1:25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</row>
    <row r="884" spans="1:25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</row>
    <row r="885" spans="1:25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</row>
    <row r="886" spans="1:25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</row>
    <row r="887" spans="1:25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</row>
    <row r="888" spans="1:25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</row>
    <row r="889" spans="1:25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</row>
    <row r="890" spans="1:25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</row>
    <row r="891" spans="1:25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</row>
    <row r="892" spans="1:25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</row>
    <row r="893" spans="1:25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</row>
    <row r="894" spans="1:25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</row>
    <row r="895" spans="1:25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</row>
    <row r="896" spans="1:25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</row>
    <row r="897" spans="1:25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</row>
    <row r="898" spans="1:25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</row>
    <row r="899" spans="1:25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</row>
    <row r="900" spans="1:25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</row>
    <row r="901" spans="1:25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</row>
    <row r="902" spans="1:25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</row>
    <row r="903" spans="1:25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</row>
    <row r="904" spans="1:25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</row>
    <row r="905" spans="1:25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</row>
    <row r="906" spans="1:25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</row>
    <row r="907" spans="1:25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</row>
    <row r="908" spans="1:25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</row>
    <row r="909" spans="1:25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</row>
    <row r="910" spans="1:25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</row>
    <row r="911" spans="1:25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</row>
    <row r="912" spans="1:25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</row>
    <row r="913" spans="1:25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</row>
    <row r="914" spans="1:25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</row>
    <row r="915" spans="1:25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</row>
    <row r="916" spans="1:25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</row>
    <row r="917" spans="1:25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</row>
    <row r="918" spans="1:25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</row>
    <row r="919" spans="1:25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</row>
    <row r="920" spans="1:25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</row>
    <row r="921" spans="1:25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</row>
    <row r="922" spans="1:25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</row>
    <row r="923" spans="1:25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</row>
    <row r="924" spans="1:25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</row>
    <row r="925" spans="1:25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</row>
    <row r="926" spans="1:25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</row>
    <row r="927" spans="1:25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</row>
    <row r="928" spans="1:25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</row>
    <row r="929" spans="1:25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</row>
    <row r="930" spans="1:25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</row>
    <row r="931" spans="1:25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</row>
    <row r="932" spans="1:25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</row>
    <row r="933" spans="1:25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</row>
    <row r="934" spans="1:25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</row>
    <row r="935" spans="1:25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</row>
    <row r="936" spans="1:25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</row>
    <row r="937" spans="1:25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</row>
    <row r="938" spans="1:25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</row>
    <row r="939" spans="1:25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</row>
    <row r="940" spans="1:25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</row>
    <row r="941" spans="1:25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</row>
    <row r="942" spans="1:25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</row>
    <row r="943" spans="1:25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</row>
    <row r="944" spans="1:25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</row>
    <row r="945" spans="1:25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</row>
    <row r="946" spans="1:25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</row>
    <row r="947" spans="1:25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</row>
    <row r="948" spans="1:25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</row>
    <row r="949" spans="1:25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</row>
    <row r="950" spans="1:25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</row>
    <row r="951" spans="1:25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</row>
    <row r="952" spans="1:25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</row>
    <row r="953" spans="1:25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</row>
    <row r="954" spans="1:25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</row>
    <row r="955" spans="1:25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</row>
    <row r="956" spans="1:25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</row>
    <row r="957" spans="1:25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</row>
    <row r="958" spans="1:25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</row>
    <row r="959" spans="1:25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</row>
    <row r="960" spans="1:25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</row>
    <row r="961" spans="1:25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</row>
    <row r="962" spans="1:25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</row>
    <row r="963" spans="1:25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</row>
    <row r="964" spans="1:25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</row>
    <row r="965" spans="1:25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</row>
    <row r="966" spans="1:25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</row>
    <row r="967" spans="1:25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</row>
    <row r="968" spans="1:25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</row>
    <row r="969" spans="1:25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</row>
    <row r="970" spans="1:25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</row>
    <row r="971" spans="1:25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</row>
    <row r="972" spans="1:25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</row>
    <row r="973" spans="1:25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</row>
    <row r="974" spans="1:25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</row>
    <row r="975" spans="1:25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</row>
    <row r="976" spans="1:25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</row>
    <row r="977" spans="1:25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</row>
    <row r="978" spans="1:25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</row>
    <row r="979" spans="1:25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</row>
    <row r="980" spans="1:25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</row>
    <row r="981" spans="1:25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</row>
    <row r="982" spans="1:25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</row>
    <row r="983" spans="1:25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</row>
    <row r="984" spans="1:25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</row>
    <row r="985" spans="1:25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</row>
    <row r="986" spans="1:25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</row>
    <row r="987" spans="1:25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</row>
    <row r="988" spans="1:25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</row>
    <row r="989" spans="1:25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</row>
    <row r="990" spans="1:25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</row>
    <row r="991" spans="1:25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</row>
    <row r="992" spans="1:25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</row>
    <row r="993" spans="1:25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</row>
    <row r="994" spans="1:25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</row>
    <row r="995" spans="1:25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</row>
    <row r="996" spans="1:25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</row>
    <row r="997" spans="1:25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</row>
    <row r="998" spans="1:25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</row>
    <row r="999" spans="1:25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</row>
    <row r="1000" spans="1:25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</row>
  </sheetData>
  <mergeCells count="6">
    <mergeCell ref="B3:C3"/>
    <mergeCell ref="D3:E3"/>
    <mergeCell ref="H39:H40"/>
    <mergeCell ref="I39:I40"/>
    <mergeCell ref="J39:J40"/>
    <mergeCell ref="D39:E39"/>
  </mergeCells>
  <conditionalFormatting sqref="F56">
    <cfRule type="notContainsBlanks" dxfId="43" priority="1">
      <formula>LEN(TRIM(F56))&gt;0</formula>
    </cfRule>
  </conditionalFormatting>
  <conditionalFormatting sqref="F56">
    <cfRule type="notContainsBlanks" dxfId="42" priority="2">
      <formula>LEN(TRIM(F56))&gt;0</formula>
    </cfRule>
  </conditionalFormatting>
  <conditionalFormatting sqref="F56">
    <cfRule type="colorScale" priority="3">
      <colorScale>
        <cfvo type="min"/>
        <cfvo type="max"/>
        <color rgb="FF57BB8A"/>
        <color rgb="FFFFFFFF"/>
      </colorScale>
    </cfRule>
  </conditionalFormatting>
  <hyperlinks>
    <hyperlink ref="F27" r:id="rId1" xr:uid="{00000000-0004-0000-02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3"/>
  <sheetViews>
    <sheetView topLeftCell="A73" workbookViewId="0">
      <selection activeCell="B88" sqref="B88"/>
    </sheetView>
  </sheetViews>
  <sheetFormatPr baseColWidth="10" defaultColWidth="14.42578125" defaultRowHeight="15" customHeight="1"/>
  <cols>
    <col min="1" max="1" width="40.85546875" customWidth="1"/>
    <col min="2" max="2" width="20.7109375" customWidth="1"/>
    <col min="3" max="3" width="19.140625" customWidth="1"/>
    <col min="4" max="5" width="16.85546875" bestFit="1" customWidth="1"/>
    <col min="6" max="6" width="21.28515625" customWidth="1"/>
    <col min="7" max="7" width="17.28515625" customWidth="1"/>
    <col min="8" max="8" width="10" customWidth="1"/>
    <col min="9" max="9" width="19" customWidth="1"/>
    <col min="10" max="26" width="10" customWidth="1"/>
  </cols>
  <sheetData>
    <row r="1" spans="1:26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2.75" customHeight="1">
      <c r="A3" s="2" t="s">
        <v>0</v>
      </c>
      <c r="E3" s="3">
        <f>InfoInicial!E1</f>
        <v>4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customHeight="1">
      <c r="A4" s="507" t="s">
        <v>464</v>
      </c>
      <c r="B4" s="508"/>
      <c r="C4" s="508"/>
      <c r="D4" s="508"/>
      <c r="E4" s="508"/>
      <c r="F4" s="50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510"/>
      <c r="B5" s="600" t="s">
        <v>465</v>
      </c>
      <c r="C5" s="600"/>
      <c r="D5" s="600"/>
      <c r="E5" s="600"/>
      <c r="F5" s="601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510" t="s">
        <v>359</v>
      </c>
      <c r="B6" s="44" t="s">
        <v>72</v>
      </c>
      <c r="C6" s="44" t="s">
        <v>360</v>
      </c>
      <c r="D6" s="44" t="s">
        <v>361</v>
      </c>
      <c r="E6" s="44" t="s">
        <v>362</v>
      </c>
      <c r="F6" s="45" t="s">
        <v>363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46" t="s">
        <v>466</v>
      </c>
      <c r="B7" s="512">
        <f>'Calculos auxiliares'!J83</f>
        <v>203523374.55847871</v>
      </c>
      <c r="C7" s="512">
        <f>'Calculos auxiliares'!$J$92</f>
        <v>234458329.09679997</v>
      </c>
      <c r="D7" s="512">
        <f>'Calculos auxiliares'!$J$92</f>
        <v>234458329.09679997</v>
      </c>
      <c r="E7" s="512">
        <f>'Calculos auxiliares'!$J$92</f>
        <v>234458329.09679997</v>
      </c>
      <c r="F7" s="512">
        <f>'Calculos auxiliares'!$J$92</f>
        <v>234458329.09679997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50" t="s">
        <v>467</v>
      </c>
      <c r="B8" s="515">
        <f>'Calculos auxiliares'!J97</f>
        <v>3143520</v>
      </c>
      <c r="C8" s="602">
        <f>'Calculos auxiliares'!J96</f>
        <v>3409920</v>
      </c>
      <c r="D8" s="603">
        <f>'Calculos auxiliares'!J96</f>
        <v>3409920</v>
      </c>
      <c r="E8" s="603">
        <f>'Calculos auxiliares'!J96</f>
        <v>3409920</v>
      </c>
      <c r="F8" s="603">
        <f>'Calculos auxiliares'!J96</f>
        <v>3409920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50" t="s">
        <v>468</v>
      </c>
      <c r="B9" s="515">
        <v>0</v>
      </c>
      <c r="C9" s="514"/>
      <c r="D9" s="514"/>
      <c r="E9" s="514"/>
      <c r="F9" s="604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.75" customHeight="1">
      <c r="A10" s="50" t="s">
        <v>439</v>
      </c>
      <c r="B10" s="605">
        <f>SUMPRODUCT('E-Inv AF y Am'!D43:D50,'E-Inv AF y Am'!H43:H50)+'E-Inv AF y Am'!D53*'E-Inv AF y Am'!H53</f>
        <v>1335130.3033772581</v>
      </c>
      <c r="C10" s="578">
        <f>SUMPRODUCT('E-Inv AF y Am'!D43:D50,'E-Inv AF y Am'!H43:H50)+'E-Inv AF y Am'!D53*'E-Inv AF y Am'!H53</f>
        <v>1335130.3033772581</v>
      </c>
      <c r="D10" s="578">
        <f>SUMPRODUCT('E-Inv AF y Am'!D43:D50,'E-Inv AF y Am'!H43:H50)+'E-Inv AF y Am'!D53*'E-Inv AF y Am'!H53</f>
        <v>1335130.3033772581</v>
      </c>
      <c r="E10" s="578">
        <f>SUMPRODUCT('E-Inv AF y Am'!E43:E50,'E-Inv AF y Am'!H43:H50)+'E-Inv AF y Am'!E53*'E-Inv AF y Am'!H53</f>
        <v>1108553.273640234</v>
      </c>
      <c r="F10" s="606">
        <f>SUMPRODUCT('E-Inv AF y Am'!E43:E50,'E-Inv AF y Am'!H43:H50)+'E-Inv AF y Am'!E53*'E-Inv AF y Am'!H53</f>
        <v>1108553.273640234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50" t="s">
        <v>469</v>
      </c>
      <c r="B11" s="515">
        <f>'Calculos auxiliares'!K134</f>
        <v>982350</v>
      </c>
      <c r="C11" s="514">
        <f>'Calculos auxiliares'!K133</f>
        <v>1065600</v>
      </c>
      <c r="D11" s="578">
        <f>'Calculos auxiliares'!K133</f>
        <v>1065600</v>
      </c>
      <c r="E11" s="578">
        <f>'Calculos auxiliares'!K133</f>
        <v>1065600</v>
      </c>
      <c r="F11" s="578">
        <f>'Calculos auxiliares'!K133</f>
        <v>1065600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50" t="s">
        <v>226</v>
      </c>
      <c r="B12" s="515">
        <f>'Calculos auxiliares'!J143</f>
        <v>10271247.074155187</v>
      </c>
      <c r="C12" s="514">
        <f>'Calculos auxiliares'!K143</f>
        <v>11826052.288039999</v>
      </c>
      <c r="D12" s="514">
        <f>'Calculos auxiliares'!K143</f>
        <v>11826052.288039999</v>
      </c>
      <c r="E12" s="514">
        <f>'Calculos auxiliares'!L143</f>
        <v>11826094.199699998</v>
      </c>
      <c r="F12" s="578">
        <f>'Calculos auxiliares'!L143</f>
        <v>11826094.199699998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607" t="s">
        <v>245</v>
      </c>
      <c r="B13" s="605">
        <f>'Calculos auxiliares'!L202</f>
        <v>453614.70177729713</v>
      </c>
      <c r="C13" s="575">
        <f>'Calculos auxiliares'!L201</f>
        <v>454418.98868354713</v>
      </c>
      <c r="D13" s="578">
        <f>'Calculos auxiliares'!L201</f>
        <v>454418.98868354713</v>
      </c>
      <c r="E13" s="578">
        <f>'Calculos auxiliares'!L201</f>
        <v>454418.98868354713</v>
      </c>
      <c r="F13" s="578">
        <f>'Calculos auxiliares'!L201</f>
        <v>454418.98868354713</v>
      </c>
      <c r="G13" s="608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50" t="s">
        <v>393</v>
      </c>
      <c r="B14" s="514">
        <f>'Calculos auxiliares'!C23</f>
        <v>79200</v>
      </c>
      <c r="C14" s="575">
        <f>'Calculos auxiliares'!C22</f>
        <v>118800</v>
      </c>
      <c r="D14" s="578">
        <f>'Calculos auxiliares'!C22</f>
        <v>118800</v>
      </c>
      <c r="E14" s="578">
        <f>'Calculos auxiliares'!C22</f>
        <v>118800</v>
      </c>
      <c r="F14" s="578">
        <f>'Calculos auxiliares'!C22</f>
        <v>118800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50" t="s">
        <v>470</v>
      </c>
      <c r="B15" s="514">
        <f>'Calculos auxiliares'!F261</f>
        <v>31563.631558081142</v>
      </c>
      <c r="C15" s="514">
        <f>'Calculos auxiliares'!F261</f>
        <v>31563.631558081142</v>
      </c>
      <c r="D15" s="514">
        <f>'Calculos auxiliares'!F261</f>
        <v>31563.631558081142</v>
      </c>
      <c r="E15" s="514">
        <f>'Calculos auxiliares'!F261</f>
        <v>31563.631558081142</v>
      </c>
      <c r="F15" s="514">
        <f>'Calculos auxiliares'!F261</f>
        <v>31563.631558081142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50" t="s">
        <v>34</v>
      </c>
      <c r="B16" s="514">
        <f>SUM(B8:B15)*InfoInicial!$B$15</f>
        <v>1222246.9283150868</v>
      </c>
      <c r="C16" s="514">
        <f>SUM(C8:C15)*InfoInicial!$B$15</f>
        <v>1368111.3908744166</v>
      </c>
      <c r="D16" s="514">
        <f>SUM(D8:D15)*InfoInicial!$B$15</f>
        <v>1368111.3908744166</v>
      </c>
      <c r="E16" s="514">
        <f>SUM(E8:E15)*InfoInicial!$B$15</f>
        <v>1351121.2570186397</v>
      </c>
      <c r="F16" s="514">
        <f>SUM(F8:F15)*InfoInicial!$B$15</f>
        <v>1351121.2570186397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609" t="s">
        <v>471</v>
      </c>
      <c r="B17" s="610">
        <f t="shared" ref="B17:F17" si="0">SUM(B7:B16)</f>
        <v>221042247.19766164</v>
      </c>
      <c r="C17" s="610">
        <f t="shared" si="0"/>
        <v>254067925.69933331</v>
      </c>
      <c r="D17" s="610">
        <f t="shared" si="0"/>
        <v>254067925.69933331</v>
      </c>
      <c r="E17" s="610">
        <f t="shared" si="0"/>
        <v>253824400.44740048</v>
      </c>
      <c r="F17" s="610">
        <f t="shared" si="0"/>
        <v>253824400.44740048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58"/>
      <c r="B18" s="530"/>
      <c r="C18" s="530"/>
      <c r="D18" s="530"/>
      <c r="E18" s="530"/>
      <c r="F18" s="53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611" t="s">
        <v>472</v>
      </c>
      <c r="B19" s="612">
        <f t="shared" ref="B19:F19" si="1">SUM(B10,B11,B15,B16)/B17</f>
        <v>1.6156598607400541E-2</v>
      </c>
      <c r="C19" s="612">
        <f t="shared" si="1"/>
        <v>1.4958225503471052E-2</v>
      </c>
      <c r="D19" s="612">
        <f t="shared" si="1"/>
        <v>1.4958225503471052E-2</v>
      </c>
      <c r="E19" s="612">
        <f t="shared" si="1"/>
        <v>1.4012987545513897E-2</v>
      </c>
      <c r="F19" s="612">
        <f t="shared" si="1"/>
        <v>1.4012987545513897E-2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97" t="s">
        <v>473</v>
      </c>
      <c r="B20" s="613">
        <f t="shared" ref="B20:F20" si="2">SUM(B7,B8,B9,B12,B13,B14)/B17</f>
        <v>0.9838434013925994</v>
      </c>
      <c r="C20" s="613">
        <f t="shared" si="2"/>
        <v>0.98504177449652885</v>
      </c>
      <c r="D20" s="613">
        <f t="shared" si="2"/>
        <v>0.98504177449652885</v>
      </c>
      <c r="E20" s="613">
        <f t="shared" si="2"/>
        <v>0.98598701245448606</v>
      </c>
      <c r="F20" s="613">
        <f t="shared" si="2"/>
        <v>0.98598701245448606</v>
      </c>
      <c r="G20" s="40"/>
      <c r="H20" s="40"/>
      <c r="I20" s="40"/>
      <c r="J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40"/>
      <c r="B21" s="40"/>
      <c r="C21" s="40"/>
      <c r="D21" s="40"/>
      <c r="E21" s="40"/>
      <c r="F21" s="40"/>
      <c r="G21" s="40"/>
      <c r="H21" s="40"/>
      <c r="J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614"/>
      <c r="B22" s="94" t="s">
        <v>474</v>
      </c>
      <c r="C22" s="94"/>
      <c r="D22" s="94"/>
      <c r="E22" s="94"/>
      <c r="F22" s="42"/>
      <c r="G22" s="599"/>
      <c r="H22" s="40"/>
      <c r="J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510"/>
      <c r="B23" s="600" t="s">
        <v>475</v>
      </c>
      <c r="C23" s="600"/>
      <c r="D23" s="600"/>
      <c r="E23" s="600"/>
      <c r="F23" s="615"/>
      <c r="G23" s="616" t="s">
        <v>476</v>
      </c>
      <c r="H23" s="40"/>
      <c r="J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510" t="s">
        <v>359</v>
      </c>
      <c r="B24" s="617" t="s">
        <v>72</v>
      </c>
      <c r="C24" s="617" t="s">
        <v>360</v>
      </c>
      <c r="D24" s="617" t="s">
        <v>361</v>
      </c>
      <c r="E24" s="617" t="s">
        <v>362</v>
      </c>
      <c r="F24" s="618" t="s">
        <v>363</v>
      </c>
      <c r="G24" s="619" t="s">
        <v>72</v>
      </c>
      <c r="H24" s="40"/>
      <c r="J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46" t="s">
        <v>466</v>
      </c>
      <c r="B25" s="512">
        <f>'Calculos auxiliares'!L231</f>
        <v>683458.11768750008</v>
      </c>
      <c r="C25" s="512">
        <f>'Calculos auxiliares'!L231</f>
        <v>683458.11768750008</v>
      </c>
      <c r="D25" s="512">
        <f>'Calculos auxiliares'!L231</f>
        <v>683458.11768750008</v>
      </c>
      <c r="E25" s="578">
        <f>'Calculos auxiliares'!L231</f>
        <v>683458.11768750008</v>
      </c>
      <c r="F25" s="557">
        <f>'Calculos auxiliares'!L231</f>
        <v>683458.11768750008</v>
      </c>
      <c r="G25" s="620">
        <f>'Calculos auxiliares'!F245*'Calculos auxiliares'!F247</f>
        <v>4090992.3602145021</v>
      </c>
      <c r="H25" s="40"/>
      <c r="J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50" t="s">
        <v>467</v>
      </c>
      <c r="B26" s="514">
        <f>'Calculos auxiliares'!K235</f>
        <v>5021.956087824351</v>
      </c>
      <c r="C26" s="578">
        <f>'Calculos auxiliares'!K235</f>
        <v>5021.956087824351</v>
      </c>
      <c r="D26" s="578">
        <f>'Calculos auxiliares'!K235</f>
        <v>5021.956087824351</v>
      </c>
      <c r="E26" s="578">
        <f>'Calculos auxiliares'!K235</f>
        <v>5021.956087824351</v>
      </c>
      <c r="F26" s="578">
        <f>'Calculos auxiliares'!K235</f>
        <v>5021.956087824351</v>
      </c>
      <c r="G26" s="620">
        <f>'Calculos auxiliares'!F249</f>
        <v>63187.4168364203</v>
      </c>
      <c r="H26" s="40"/>
      <c r="J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621" t="s">
        <v>468</v>
      </c>
      <c r="B27" s="51"/>
      <c r="C27" s="622"/>
      <c r="D27" s="578"/>
      <c r="E27" s="623"/>
      <c r="F27" s="578"/>
      <c r="G27" s="624"/>
      <c r="H27" s="40"/>
      <c r="J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621" t="s">
        <v>439</v>
      </c>
      <c r="B28" s="51">
        <f>'Calculos auxiliares'!F242</f>
        <v>2319.7539693523295</v>
      </c>
      <c r="C28" s="51">
        <f>'Calculos auxiliares'!G242</f>
        <v>1966.3117478076304</v>
      </c>
      <c r="D28" s="578">
        <f>'Calculos auxiliares'!G242</f>
        <v>1966.3117478076304</v>
      </c>
      <c r="E28" s="625">
        <f>'Calculos auxiliares'!H242</f>
        <v>1632.6206659496959</v>
      </c>
      <c r="F28" s="578">
        <f>'Calculos auxiliares'!H242</f>
        <v>1632.6206659496959</v>
      </c>
      <c r="G28" s="624"/>
      <c r="H28" s="40"/>
      <c r="J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50" t="s">
        <v>469</v>
      </c>
      <c r="B29" s="514">
        <f>'Calculos auxiliares'!F115</f>
        <v>2218.849649234694</v>
      </c>
      <c r="C29" s="514">
        <f>'Calculos auxiliares'!$G$115</f>
        <v>2040.1696606786427</v>
      </c>
      <c r="D29" s="514">
        <f>'Calculos auxiliares'!$G$115</f>
        <v>2040.1696606786427</v>
      </c>
      <c r="E29" s="514">
        <f>'Calculos auxiliares'!$G$115</f>
        <v>2040.1696606786427</v>
      </c>
      <c r="F29" s="559">
        <f>'Calculos auxiliares'!$G$115</f>
        <v>2040.1696606786427</v>
      </c>
      <c r="G29" s="626"/>
      <c r="H29" s="40"/>
      <c r="J29" s="627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50" t="s">
        <v>226</v>
      </c>
      <c r="B30" s="514">
        <f>'Calculos auxiliares'!F150</f>
        <v>17846.023051232809</v>
      </c>
      <c r="C30" s="514">
        <f>'Calculos auxiliares'!$G$150</f>
        <v>20547.456429949139</v>
      </c>
      <c r="D30" s="514">
        <f>'Calculos auxiliares'!$G$150</f>
        <v>20547.456429949139</v>
      </c>
      <c r="E30" s="514">
        <f>'Calculos auxiliares'!$H$150</f>
        <v>20547.5292503618</v>
      </c>
      <c r="F30" s="559">
        <f>'Calculos auxiliares'!$H$150</f>
        <v>20547.5292503618</v>
      </c>
      <c r="G30" s="626"/>
      <c r="H30" s="40"/>
      <c r="J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50" t="s">
        <v>477</v>
      </c>
      <c r="B31" s="514">
        <f>'Calculos auxiliares'!F186</f>
        <v>979.69429109902865</v>
      </c>
      <c r="C31" s="514">
        <f>'Calculos auxiliares'!$G$186</f>
        <v>1049.2984880948341</v>
      </c>
      <c r="D31" s="514">
        <f>'Calculos auxiliares'!$G$186</f>
        <v>1049.2984880948341</v>
      </c>
      <c r="E31" s="514">
        <f>'Calculos auxiliares'!$G$186</f>
        <v>1049.2984880948341</v>
      </c>
      <c r="F31" s="559">
        <f>'Calculos auxiliares'!$G$186</f>
        <v>1049.2984880948341</v>
      </c>
      <c r="G31" s="620">
        <f>'Calculos auxiliares'!F251</f>
        <v>204549.61801072513</v>
      </c>
      <c r="H31" s="585" t="s">
        <v>478</v>
      </c>
      <c r="J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50" t="s">
        <v>479</v>
      </c>
      <c r="B32" s="514"/>
      <c r="C32" s="514"/>
      <c r="D32" s="575"/>
      <c r="E32" s="575"/>
      <c r="F32" s="628"/>
      <c r="G32" s="620">
        <f>'Calculos auxiliares'!F253</f>
        <v>9134.206894287885</v>
      </c>
      <c r="H32" s="585" t="s">
        <v>480</v>
      </c>
      <c r="J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50" t="s">
        <v>481</v>
      </c>
      <c r="B33" s="514">
        <f>'Calculos auxiliares'!F265</f>
        <v>54.840983991465876</v>
      </c>
      <c r="C33" s="514">
        <f>'Calculos auxiliares'!G265</f>
        <v>46.485305126498687</v>
      </c>
      <c r="D33" s="514">
        <f>'Calculos auxiliares'!$H$265</f>
        <v>46.485305126498687</v>
      </c>
      <c r="E33" s="514">
        <f>'Calculos auxiliares'!$H$265</f>
        <v>46.485305126498687</v>
      </c>
      <c r="F33" s="559">
        <f>'Calculos auxiliares'!$H$265</f>
        <v>46.485305126498687</v>
      </c>
      <c r="G33" s="620"/>
      <c r="H33" s="40"/>
      <c r="J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50" t="s">
        <v>482</v>
      </c>
      <c r="B34" s="514">
        <f>SUM(B25:B33)*InfoInicial!$B$15</f>
        <v>53392.4426790176</v>
      </c>
      <c r="C34" s="514">
        <f>SUM(C25:C33)*InfoInicial!$B$15</f>
        <v>53559.734655523585</v>
      </c>
      <c r="D34" s="514">
        <f>SUM(D25:D33)*InfoInicial!$B$15</f>
        <v>53559.734655523585</v>
      </c>
      <c r="E34" s="514">
        <f>SUM(E25:E33)*InfoInicial!$B$15</f>
        <v>53534.713285915182</v>
      </c>
      <c r="F34" s="559">
        <f>SUM(F25:F33)*InfoInicial!$B$15</f>
        <v>53534.713285915182</v>
      </c>
      <c r="G34" s="626"/>
      <c r="H34" s="40"/>
      <c r="J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97" t="s">
        <v>483</v>
      </c>
      <c r="B35" s="551">
        <f t="shared" ref="B35:F35" si="3">SUM(B25:B34)</f>
        <v>765291.67839925224</v>
      </c>
      <c r="C35" s="551">
        <f t="shared" si="3"/>
        <v>767689.53006250469</v>
      </c>
      <c r="D35" s="551">
        <f t="shared" si="3"/>
        <v>767689.53006250469</v>
      </c>
      <c r="E35" s="551">
        <f t="shared" si="3"/>
        <v>767330.89043145103</v>
      </c>
      <c r="F35" s="581">
        <f t="shared" si="3"/>
        <v>767330.89043145103</v>
      </c>
      <c r="G35" s="626"/>
      <c r="H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35"/>
      <c r="B36" s="629"/>
      <c r="C36" s="629"/>
      <c r="D36" s="629"/>
      <c r="E36" s="629"/>
      <c r="F36" s="629"/>
      <c r="G36" s="620">
        <f>SUM(G25:G35)</f>
        <v>4367863.6019559354</v>
      </c>
      <c r="H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99"/>
      <c r="B37" s="630" t="s">
        <v>484</v>
      </c>
      <c r="C37" s="630"/>
      <c r="D37" s="630"/>
      <c r="E37" s="630"/>
      <c r="F37" s="631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97"/>
      <c r="B38" s="617" t="s">
        <v>72</v>
      </c>
      <c r="C38" s="617" t="s">
        <v>360</v>
      </c>
      <c r="D38" s="617" t="s">
        <v>361</v>
      </c>
      <c r="E38" s="617" t="s">
        <v>362</v>
      </c>
      <c r="F38" s="45" t="s">
        <v>363</v>
      </c>
      <c r="G38" s="62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106" t="s">
        <v>471</v>
      </c>
      <c r="B39" s="632">
        <f t="shared" ref="B39:F39" si="4">B17</f>
        <v>221042247.19766164</v>
      </c>
      <c r="C39" s="632">
        <f t="shared" si="4"/>
        <v>254067925.69933331</v>
      </c>
      <c r="D39" s="632">
        <f t="shared" si="4"/>
        <v>254067925.69933331</v>
      </c>
      <c r="E39" s="632">
        <f t="shared" si="4"/>
        <v>253824400.44740048</v>
      </c>
      <c r="F39" s="632">
        <f t="shared" si="4"/>
        <v>253824400.44740048</v>
      </c>
      <c r="G39" s="62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50" t="s">
        <v>485</v>
      </c>
      <c r="B40" s="514"/>
      <c r="C40" s="514"/>
      <c r="D40" s="514"/>
      <c r="E40" s="514"/>
      <c r="F40" s="604"/>
      <c r="G40" s="62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50" t="s">
        <v>486</v>
      </c>
      <c r="B41" s="541">
        <f>G36</f>
        <v>4367863.6019559354</v>
      </c>
      <c r="C41" s="514"/>
      <c r="D41" s="514"/>
      <c r="E41" s="514"/>
      <c r="F41" s="604"/>
      <c r="G41" s="62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50" t="s">
        <v>487</v>
      </c>
      <c r="B42" s="514">
        <f>B35</f>
        <v>765291.67839925224</v>
      </c>
      <c r="C42" s="514">
        <f t="shared" ref="C42:F42" si="5">C35-B35</f>
        <v>2397.8516632524552</v>
      </c>
      <c r="D42" s="514">
        <f t="shared" si="5"/>
        <v>0</v>
      </c>
      <c r="E42" s="514">
        <f t="shared" si="5"/>
        <v>-358.63963105366565</v>
      </c>
      <c r="F42" s="514">
        <f t="shared" si="5"/>
        <v>0</v>
      </c>
      <c r="G42" s="629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48" t="s">
        <v>488</v>
      </c>
      <c r="B43" s="514">
        <f t="shared" ref="B43:F43" si="6">B39-B41-B42</f>
        <v>215909091.91730642</v>
      </c>
      <c r="C43" s="514">
        <f t="shared" si="6"/>
        <v>254065527.84767005</v>
      </c>
      <c r="D43" s="514">
        <f t="shared" si="6"/>
        <v>254067925.69933331</v>
      </c>
      <c r="E43" s="514">
        <f t="shared" si="6"/>
        <v>253824759.08703154</v>
      </c>
      <c r="F43" s="514">
        <f t="shared" si="6"/>
        <v>253824400.44740048</v>
      </c>
      <c r="G43" s="62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611" t="s">
        <v>489</v>
      </c>
      <c r="B44" s="561">
        <f>B43/'Calculos auxiliares'!$F$210</f>
        <v>8.8996784633885326</v>
      </c>
      <c r="C44" s="561">
        <f>C43/'Calculos auxiliares'!$F$212</f>
        <v>9.0154101697997806</v>
      </c>
      <c r="D44" s="561">
        <f>D43/'Calculos auxiliares'!$F$212</f>
        <v>9.0154952565742583</v>
      </c>
      <c r="E44" s="561">
        <f>E43/'Calculos auxiliares'!$F$212</f>
        <v>9.0068665899146261</v>
      </c>
      <c r="F44" s="561">
        <f>F43/'Calculos auxiliares'!$F$212</f>
        <v>9.0068538637356568</v>
      </c>
      <c r="G44" s="629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611"/>
      <c r="B45" s="561"/>
      <c r="C45" s="561"/>
      <c r="D45" s="561"/>
      <c r="E45" s="561"/>
      <c r="F45" s="633"/>
      <c r="G45" s="629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611" t="s">
        <v>472</v>
      </c>
      <c r="B46" s="634">
        <f t="shared" ref="B46:F46" si="7">SUM(B10:B16)/B43</f>
        <v>6.6580580333729975E-2</v>
      </c>
      <c r="C46" s="634">
        <f t="shared" si="7"/>
        <v>6.3761804837396657E-2</v>
      </c>
      <c r="D46" s="634">
        <f t="shared" si="7"/>
        <v>6.3761203063877392E-2</v>
      </c>
      <c r="E46" s="634">
        <f t="shared" si="7"/>
        <v>6.286286415869087E-2</v>
      </c>
      <c r="F46" s="634">
        <f t="shared" si="7"/>
        <v>6.2862952980389533E-2</v>
      </c>
      <c r="G46" s="62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97" t="s">
        <v>473</v>
      </c>
      <c r="B47" s="635">
        <f t="shared" ref="B47:F47" si="8">1-B46</f>
        <v>0.93341941966627007</v>
      </c>
      <c r="C47" s="635">
        <f t="shared" si="8"/>
        <v>0.93623819516260331</v>
      </c>
      <c r="D47" s="635">
        <f t="shared" si="8"/>
        <v>0.93623879693612255</v>
      </c>
      <c r="E47" s="635">
        <f t="shared" si="8"/>
        <v>0.93713713584130909</v>
      </c>
      <c r="F47" s="635">
        <f t="shared" si="8"/>
        <v>0.93713704701961043</v>
      </c>
      <c r="G47" s="62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92"/>
      <c r="B50" s="94" t="s">
        <v>490</v>
      </c>
      <c r="C50" s="94"/>
      <c r="D50" s="94"/>
      <c r="E50" s="94"/>
      <c r="F50" s="636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637" t="s">
        <v>359</v>
      </c>
      <c r="B51" s="44" t="s">
        <v>72</v>
      </c>
      <c r="C51" s="44" t="s">
        <v>360</v>
      </c>
      <c r="D51" s="44" t="s">
        <v>361</v>
      </c>
      <c r="E51" s="44" t="s">
        <v>362</v>
      </c>
      <c r="F51" s="45" t="s">
        <v>363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614" t="s">
        <v>233</v>
      </c>
      <c r="B52" s="638">
        <f>'Calculos auxiliares'!L202</f>
        <v>453614.70177729713</v>
      </c>
      <c r="C52" s="638">
        <f>'Calculos auxiliares'!L201</f>
        <v>454418.98868354713</v>
      </c>
      <c r="D52" s="578">
        <f>'Calculos auxiliares'!L201</f>
        <v>454418.98868354713</v>
      </c>
      <c r="E52" s="578">
        <f>'Calculos auxiliares'!L201</f>
        <v>454418.98868354713</v>
      </c>
      <c r="F52" s="578">
        <f>'Calculos auxiliares'!L201</f>
        <v>454418.98868354713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50" t="s">
        <v>491</v>
      </c>
      <c r="B53" s="639">
        <f>SUMPRODUCT('E-Inv AF y Am'!D43:D50,'E-Inv AF y Am'!I43:I50)+'E-Inv AF y Am'!D53*'E-Inv AF y Am'!I53</f>
        <v>584248.57338020089</v>
      </c>
      <c r="C53" s="578">
        <f>SUMPRODUCT('E-Inv AF y Am'!D43:D50,'E-Inv AF y Am'!I43:I50)+'E-Inv AF y Am'!D53*'E-Inv AF y Am'!I53</f>
        <v>584248.57338020089</v>
      </c>
      <c r="D53" s="578">
        <f>SUMPRODUCT('E-Inv AF y Am'!D43:D50,'E-Inv AF y Am'!I43:I50)+'E-Inv AF y Am'!D53*'E-Inv AF y Am'!I53</f>
        <v>584248.57338020089</v>
      </c>
      <c r="E53" s="578">
        <f>SUMPRODUCT('E-Inv AF y Am'!D43:D50,'E-Inv AF y Am'!I43:I50)+'E-Inv AF y Am'!D53*'E-Inv AF y Am'!I53</f>
        <v>584248.57338020089</v>
      </c>
      <c r="F53" s="578">
        <f>SUMPRODUCT('E-Inv AF y Am'!D43:D50,'E-Inv AF y Am'!I43:I50)+'E-Inv AF y Am'!D53*'E-Inv AF y Am'!I53</f>
        <v>584248.57338020089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50" t="s">
        <v>226</v>
      </c>
      <c r="B54" s="514">
        <f>'Calculos auxiliares'!J158</f>
        <v>123841.65409428852</v>
      </c>
      <c r="C54" s="514">
        <f>'Calculos auxiliares'!K158</f>
        <v>134336.70952600788</v>
      </c>
      <c r="D54" s="578">
        <f>'Calculos auxiliares'!K158</f>
        <v>134336.70952600788</v>
      </c>
      <c r="E54" s="514">
        <f>'Calculos auxiliares'!L158</f>
        <v>140542.94500230829</v>
      </c>
      <c r="F54" s="578">
        <f>'Calculos auxiliares'!L158</f>
        <v>140542.94500230829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50" t="s">
        <v>492</v>
      </c>
      <c r="B55" s="514">
        <f>'Calculos auxiliares'!N202</f>
        <v>376483.38991387089</v>
      </c>
      <c r="C55" s="514">
        <f>'Calculos auxiliares'!$N$201</f>
        <v>377150.91823634796</v>
      </c>
      <c r="D55" s="514">
        <f>'Calculos auxiliares'!$N$201</f>
        <v>377150.91823634796</v>
      </c>
      <c r="E55" s="514">
        <f>'Calculos auxiliares'!$N$201</f>
        <v>377150.91823634796</v>
      </c>
      <c r="F55" s="514">
        <f>'Calculos auxiliares'!$N$201</f>
        <v>377150.91823634796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50" t="s">
        <v>493</v>
      </c>
      <c r="B56" s="515">
        <v>0</v>
      </c>
      <c r="C56" s="515">
        <v>0</v>
      </c>
      <c r="D56" s="515">
        <v>0</v>
      </c>
      <c r="E56" s="515">
        <v>0</v>
      </c>
      <c r="F56" s="515">
        <v>0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50" t="s">
        <v>396</v>
      </c>
      <c r="B57" s="514">
        <f>'Calculos auxiliares'!$F$282</f>
        <v>36175000</v>
      </c>
      <c r="C57" s="514">
        <f>'Calculos auxiliares'!$F$282</f>
        <v>36175000</v>
      </c>
      <c r="D57" s="514">
        <f>'Calculos auxiliares'!$F$282</f>
        <v>36175000</v>
      </c>
      <c r="E57" s="514">
        <f>'Calculos auxiliares'!$F$282</f>
        <v>36175000</v>
      </c>
      <c r="F57" s="514">
        <f>'Calculos auxiliares'!$F$282</f>
        <v>36175000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50" t="s">
        <v>470</v>
      </c>
      <c r="B58" s="639">
        <f>'Calculos auxiliares'!F272</f>
        <v>4165024.6187392627</v>
      </c>
      <c r="C58" s="639">
        <f>'Calculos auxiliares'!G272</f>
        <v>4910419.6187392622</v>
      </c>
      <c r="D58" s="578">
        <f>'Calculos auxiliares'!G272</f>
        <v>4910419.6187392622</v>
      </c>
      <c r="E58" s="578">
        <f>'Calculos auxiliares'!G272</f>
        <v>4910419.6187392622</v>
      </c>
      <c r="F58" s="578">
        <f>'Calculos auxiliares'!G272</f>
        <v>4910419.6187392622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50" t="s">
        <v>34</v>
      </c>
      <c r="B59" s="514">
        <f>SUM(B52:B58)*InfoInicial!$B$15</f>
        <v>3140865.9703428685</v>
      </c>
      <c r="C59" s="514">
        <f>SUM(C52:C58)*InfoInicial!$B$15</f>
        <v>3197668.110642402</v>
      </c>
      <c r="D59" s="514">
        <f>SUM(D52:D58)*InfoInicial!$B$15</f>
        <v>3197668.110642402</v>
      </c>
      <c r="E59" s="514">
        <f>SUM(E52:E58)*InfoInicial!$B$15</f>
        <v>3198133.5783031248</v>
      </c>
      <c r="F59" s="514">
        <f>SUM(F52:F58)*InfoInicial!$B$15</f>
        <v>3198133.5783031248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50"/>
      <c r="B60" s="640"/>
      <c r="C60" s="640"/>
      <c r="D60" s="640"/>
      <c r="E60" s="640"/>
      <c r="F60" s="641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48" t="s">
        <v>494</v>
      </c>
      <c r="B61" s="518">
        <f t="shared" ref="B61:F61" si="9">SUM(B52:B59)</f>
        <v>45019078.908247784</v>
      </c>
      <c r="C61" s="518">
        <f t="shared" si="9"/>
        <v>45833242.919207767</v>
      </c>
      <c r="D61" s="518">
        <f t="shared" si="9"/>
        <v>45833242.919207767</v>
      </c>
      <c r="E61" s="518">
        <f t="shared" si="9"/>
        <v>45839914.622344792</v>
      </c>
      <c r="F61" s="518">
        <f t="shared" si="9"/>
        <v>45839914.622344792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48"/>
      <c r="B62" s="518"/>
      <c r="C62" s="518"/>
      <c r="D62" s="518"/>
      <c r="E62" s="518"/>
      <c r="F62" s="642"/>
      <c r="G62" s="629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611" t="s">
        <v>472</v>
      </c>
      <c r="B63" s="643">
        <v>1</v>
      </c>
      <c r="C63" s="643">
        <v>1</v>
      </c>
      <c r="D63" s="643">
        <v>1</v>
      </c>
      <c r="E63" s="643">
        <v>1</v>
      </c>
      <c r="F63" s="643">
        <v>1</v>
      </c>
      <c r="G63" s="62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97" t="s">
        <v>473</v>
      </c>
      <c r="B64" s="635">
        <v>0</v>
      </c>
      <c r="C64" s="635">
        <v>0</v>
      </c>
      <c r="D64" s="635">
        <v>0</v>
      </c>
      <c r="E64" s="635">
        <v>0</v>
      </c>
      <c r="F64" s="635">
        <v>0</v>
      </c>
      <c r="G64" s="62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92"/>
      <c r="B67" s="94" t="s">
        <v>495</v>
      </c>
      <c r="C67" s="94"/>
      <c r="D67" s="94"/>
      <c r="E67" s="94"/>
      <c r="F67" s="636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637" t="s">
        <v>359</v>
      </c>
      <c r="B68" s="44" t="s">
        <v>72</v>
      </c>
      <c r="C68" s="44" t="s">
        <v>360</v>
      </c>
      <c r="D68" s="44" t="s">
        <v>361</v>
      </c>
      <c r="E68" s="44" t="s">
        <v>362</v>
      </c>
      <c r="F68" s="45" t="s">
        <v>363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46" t="s">
        <v>233</v>
      </c>
      <c r="B69" s="512">
        <f>'Calculos auxiliares'!K134</f>
        <v>982350</v>
      </c>
      <c r="C69" s="512">
        <f>'Calculos auxiliares'!$K$133</f>
        <v>1065600</v>
      </c>
      <c r="D69" s="512">
        <f>'Calculos auxiliares'!$K$133</f>
        <v>1065600</v>
      </c>
      <c r="E69" s="512">
        <f>'Calculos auxiliares'!$K$133</f>
        <v>1065600</v>
      </c>
      <c r="F69" s="512">
        <f>'Calculos auxiliares'!$K$133</f>
        <v>1065600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50" t="s">
        <v>491</v>
      </c>
      <c r="B70" s="639">
        <f>SUMPRODUCT('E-Inv AF y Am'!D43:D50,'E-Inv AF y Am'!J43:J50)+'E-Inv AF y Am'!E53*'E-Inv AF y Am'!J53</f>
        <v>774973.56140745827</v>
      </c>
      <c r="C70" s="578">
        <f>SUMPRODUCT('E-Inv AF y Am'!D43:D50,'E-Inv AF y Am'!J43:J50)+'E-Inv AF y Am'!E53*'E-Inv AF y Am'!J53</f>
        <v>774973.56140745827</v>
      </c>
      <c r="D70" s="578">
        <f>SUMPRODUCT('E-Inv AF y Am'!D43:D50,'E-Inv AF y Am'!J43:J50)+'E-Inv AF y Am'!E53*'E-Inv AF y Am'!J53</f>
        <v>774973.56140745827</v>
      </c>
      <c r="E70" s="578">
        <f>SUMPRODUCT('E-Inv AF y Am'!D43:D50,'E-Inv AF y Am'!J43:J50)+'E-Inv AF y Am'!E53*'E-Inv AF y Am'!J53</f>
        <v>774973.56140745827</v>
      </c>
      <c r="F70" s="578">
        <f>SUMPRODUCT('E-Inv AF y Am'!D43:D50,'E-Inv AF y Am'!J43:J50)+'E-Inv AF y Am'!E53*'E-Inv AF y Am'!J53</f>
        <v>774973.56140745827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50" t="s">
        <v>226</v>
      </c>
      <c r="B71" s="514">
        <f>'Calculos auxiliares'!J167</f>
        <v>89123.460666722225</v>
      </c>
      <c r="C71" s="514">
        <f>'Calculos auxiliares'!$K$167</f>
        <v>95808.520892715635</v>
      </c>
      <c r="D71" s="514">
        <f>'Calculos auxiliares'!$K$167</f>
        <v>95808.520892715635</v>
      </c>
      <c r="E71" s="514">
        <f>'Calculos auxiliares'!$L$167</f>
        <v>100353.35943735142</v>
      </c>
      <c r="F71" s="514">
        <f>'Calculos auxiliares'!$L$167</f>
        <v>100353.35943735142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50" t="s">
        <v>403</v>
      </c>
      <c r="B72" s="514">
        <f>'Calculos auxiliares'!O202</f>
        <v>77131.311863426236</v>
      </c>
      <c r="C72" s="514">
        <f>'Calculos auxiliares'!$O$201</f>
        <v>77268.070447199148</v>
      </c>
      <c r="D72" s="514">
        <f>'Calculos auxiliares'!$O$201</f>
        <v>77268.070447199148</v>
      </c>
      <c r="E72" s="514">
        <f>'Calculos auxiliares'!$O$201</f>
        <v>77268.070447199148</v>
      </c>
      <c r="F72" s="514">
        <f>'Calculos auxiliares'!$O$201</f>
        <v>77268.070447199148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50" t="s">
        <v>493</v>
      </c>
      <c r="B73" s="515">
        <v>0</v>
      </c>
      <c r="C73" s="515">
        <v>0</v>
      </c>
      <c r="D73" s="515">
        <v>0</v>
      </c>
      <c r="E73" s="515">
        <v>0</v>
      </c>
      <c r="F73" s="515">
        <v>0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50" t="s">
        <v>396</v>
      </c>
      <c r="B74" s="515">
        <v>0</v>
      </c>
      <c r="C74" s="515">
        <v>0</v>
      </c>
      <c r="D74" s="515">
        <v>0</v>
      </c>
      <c r="E74" s="515">
        <v>0</v>
      </c>
      <c r="F74" s="515">
        <v>0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644" t="s">
        <v>470</v>
      </c>
      <c r="B75" s="639">
        <f>'Calculos auxiliares'!F275+'Calculos auxiliares'!F276</f>
        <v>10068750</v>
      </c>
      <c r="C75" s="639">
        <f>'Calculos auxiliares'!F275+'Calculos auxiliares'!F277</f>
        <v>11872125</v>
      </c>
      <c r="D75" s="578">
        <f>'Calculos auxiliares'!F275+'Calculos auxiliares'!F277</f>
        <v>11872125</v>
      </c>
      <c r="E75" s="578">
        <f>'Calculos auxiliares'!F275+'Calculos auxiliares'!F277</f>
        <v>11872125</v>
      </c>
      <c r="F75" s="578">
        <f>'Calculos auxiliares'!F275+'Calculos auxiliares'!F277</f>
        <v>11872125</v>
      </c>
      <c r="G75" s="499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644" t="s">
        <v>34</v>
      </c>
      <c r="B76" s="639">
        <f>SUM(B69:B75)*InfoInicial!$B$15</f>
        <v>899424.6250453206</v>
      </c>
      <c r="C76" s="639">
        <f>SUM(C69:C75)*InfoInicial!$B$15</f>
        <v>1041433.1364560529</v>
      </c>
      <c r="D76" s="639">
        <f>SUM(D69:D75)*InfoInicial!$B$15</f>
        <v>1041433.1364560529</v>
      </c>
      <c r="E76" s="639">
        <f>SUM(E69:E75)*InfoInicial!$B$15</f>
        <v>1041773.9993469006</v>
      </c>
      <c r="F76" s="639">
        <f>SUM(F69:F75)*InfoInicial!$B$15</f>
        <v>1041773.9993469006</v>
      </c>
      <c r="G76" s="49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50"/>
      <c r="B77" s="640"/>
      <c r="C77" s="640"/>
      <c r="D77" s="640"/>
      <c r="E77" s="640"/>
      <c r="F77" s="641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48" t="s">
        <v>496</v>
      </c>
      <c r="B78" s="518">
        <f t="shared" ref="B78:F78" si="10">SUM(B69:B76)</f>
        <v>12891752.958982928</v>
      </c>
      <c r="C78" s="518">
        <f t="shared" si="10"/>
        <v>14927208.289203426</v>
      </c>
      <c r="D78" s="518">
        <f t="shared" si="10"/>
        <v>14927208.289203426</v>
      </c>
      <c r="E78" s="518">
        <f t="shared" si="10"/>
        <v>14932093.99063891</v>
      </c>
      <c r="F78" s="518">
        <f t="shared" si="10"/>
        <v>14932093.99063891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48"/>
      <c r="B79" s="518"/>
      <c r="C79" s="518"/>
      <c r="D79" s="518"/>
      <c r="E79" s="518"/>
      <c r="F79" s="642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611" t="s">
        <v>472</v>
      </c>
      <c r="B80" s="645">
        <f>SUM(B69:B74,B76,'Calculos auxiliares'!F248)/B78</f>
        <v>0.21897755975665212</v>
      </c>
      <c r="C80" s="645">
        <f>SUM(C69:C74,C76,'Calculos auxiliares'!G248)/C78</f>
        <v>0.2046654156633636</v>
      </c>
      <c r="D80" s="645">
        <f>SUM(D69:D74,D76,'Calculos auxiliares'!H248)/D78</f>
        <v>0.2046654156633636</v>
      </c>
      <c r="E80" s="645">
        <f>SUM(E69:E74,E76,'Calculos auxiliares'!I248)/E78</f>
        <v>0.20492573061469058</v>
      </c>
      <c r="F80" s="645">
        <f>SUM(F69:F74,F76,'Calculos auxiliares'!J248)/F78</f>
        <v>0.20492564489329071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97" t="s">
        <v>473</v>
      </c>
      <c r="B81" s="635">
        <f t="shared" ref="B81:F81" si="11">1-B80</f>
        <v>0.78102244024334788</v>
      </c>
      <c r="C81" s="635">
        <f t="shared" si="11"/>
        <v>0.7953345843366364</v>
      </c>
      <c r="D81" s="635">
        <f t="shared" si="11"/>
        <v>0.7953345843366364</v>
      </c>
      <c r="E81" s="635">
        <f t="shared" si="11"/>
        <v>0.79507426938530945</v>
      </c>
      <c r="F81" s="635">
        <f t="shared" si="11"/>
        <v>0.79507435510670932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 customHeight="1">
      <c r="A84" s="646" t="s">
        <v>497</v>
      </c>
      <c r="B84" s="647"/>
      <c r="C84" s="647"/>
      <c r="D84" s="647"/>
      <c r="E84" s="647"/>
      <c r="F84" s="648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50"/>
      <c r="B85" s="600" t="s">
        <v>72</v>
      </c>
      <c r="C85" s="600" t="s">
        <v>360</v>
      </c>
      <c r="D85" s="600" t="s">
        <v>361</v>
      </c>
      <c r="E85" s="600" t="s">
        <v>362</v>
      </c>
      <c r="F85" s="45" t="s">
        <v>363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50" t="s">
        <v>498</v>
      </c>
      <c r="B86" s="649">
        <v>23887500</v>
      </c>
      <c r="C86" s="649">
        <v>28181250</v>
      </c>
      <c r="D86" s="649">
        <v>28181250</v>
      </c>
      <c r="E86" s="649">
        <v>28181250</v>
      </c>
      <c r="F86" s="649">
        <v>28181250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50" t="s">
        <v>499</v>
      </c>
      <c r="B87" s="515">
        <f>InfoInicial!$B$20</f>
        <v>14</v>
      </c>
      <c r="C87" s="515">
        <f>InfoInicial!$B$20</f>
        <v>14</v>
      </c>
      <c r="D87" s="515">
        <f>InfoInicial!$B$20</f>
        <v>14</v>
      </c>
      <c r="E87" s="515">
        <f>InfoInicial!$B$20</f>
        <v>14</v>
      </c>
      <c r="F87" s="515">
        <f>InfoInicial!$B$20</f>
        <v>14</v>
      </c>
      <c r="G87" s="585"/>
      <c r="H87" s="585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8" t="s">
        <v>500</v>
      </c>
      <c r="B88" s="514">
        <f t="shared" ref="B88:F88" si="12">B86*B87</f>
        <v>334425000</v>
      </c>
      <c r="C88" s="514">
        <f t="shared" si="12"/>
        <v>394537500</v>
      </c>
      <c r="D88" s="514">
        <f t="shared" si="12"/>
        <v>394537500</v>
      </c>
      <c r="E88" s="514">
        <f t="shared" si="12"/>
        <v>394537500</v>
      </c>
      <c r="F88" s="514">
        <f t="shared" si="12"/>
        <v>394537500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50"/>
      <c r="B89" s="514"/>
      <c r="C89" s="514"/>
      <c r="D89" s="514"/>
      <c r="E89" s="514"/>
      <c r="F89" s="517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50" t="s">
        <v>501</v>
      </c>
      <c r="B90" s="514">
        <f t="shared" ref="B90:F90" si="13">B7</f>
        <v>203523374.55847871</v>
      </c>
      <c r="C90" s="514">
        <f t="shared" si="13"/>
        <v>234458329.09679997</v>
      </c>
      <c r="D90" s="514">
        <f t="shared" si="13"/>
        <v>234458329.09679997</v>
      </c>
      <c r="E90" s="514">
        <f t="shared" si="13"/>
        <v>234458329.09679997</v>
      </c>
      <c r="F90" s="514">
        <f t="shared" si="13"/>
        <v>234458329.09679997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50" t="s">
        <v>467</v>
      </c>
      <c r="B91" s="514">
        <f t="shared" ref="B91:F91" si="14">B8</f>
        <v>3143520</v>
      </c>
      <c r="C91" s="514">
        <f t="shared" si="14"/>
        <v>3409920</v>
      </c>
      <c r="D91" s="514">
        <f t="shared" si="14"/>
        <v>3409920</v>
      </c>
      <c r="E91" s="514">
        <f t="shared" si="14"/>
        <v>3409920</v>
      </c>
      <c r="F91" s="514">
        <f t="shared" si="14"/>
        <v>3409920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50" t="s">
        <v>502</v>
      </c>
      <c r="B92" s="514">
        <f t="shared" ref="B92:F92" si="15">SUM(B10:B16)</f>
        <v>14375352.63918291</v>
      </c>
      <c r="C92" s="514">
        <f t="shared" si="15"/>
        <v>16199676.602533303</v>
      </c>
      <c r="D92" s="514">
        <f t="shared" si="15"/>
        <v>16199676.602533303</v>
      </c>
      <c r="E92" s="514">
        <f t="shared" si="15"/>
        <v>15956151.3506005</v>
      </c>
      <c r="F92" s="514">
        <f t="shared" si="15"/>
        <v>15956151.3506005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50"/>
      <c r="B93" s="514"/>
      <c r="C93" s="514"/>
      <c r="D93" s="514"/>
      <c r="E93" s="514"/>
      <c r="F93" s="517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50" t="s">
        <v>503</v>
      </c>
      <c r="B94" s="518">
        <f t="shared" ref="B94:F94" si="16">SUM(B90:B92)</f>
        <v>221042247.19766164</v>
      </c>
      <c r="C94" s="518">
        <f t="shared" si="16"/>
        <v>254067925.69933328</v>
      </c>
      <c r="D94" s="518">
        <f t="shared" si="16"/>
        <v>254067925.69933328</v>
      </c>
      <c r="E94" s="518">
        <f t="shared" si="16"/>
        <v>253824400.44740048</v>
      </c>
      <c r="F94" s="518">
        <f t="shared" si="16"/>
        <v>253824400.44740048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50"/>
      <c r="B95" s="514"/>
      <c r="C95" s="514"/>
      <c r="D95" s="514"/>
      <c r="E95" s="514"/>
      <c r="F95" s="517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50" t="s">
        <v>485</v>
      </c>
      <c r="B96" s="514"/>
      <c r="C96" s="514"/>
      <c r="D96" s="514"/>
      <c r="E96" s="514"/>
      <c r="F96" s="517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52" t="s">
        <v>476</v>
      </c>
      <c r="B97" s="541">
        <f>G36</f>
        <v>4367863.6019559354</v>
      </c>
      <c r="C97" s="514"/>
      <c r="D97" s="514"/>
      <c r="E97" s="514"/>
      <c r="F97" s="517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52" t="s">
        <v>487</v>
      </c>
      <c r="B98" s="514">
        <f t="shared" ref="B98:F98" si="17">B42</f>
        <v>765291.67839925224</v>
      </c>
      <c r="C98" s="514">
        <f t="shared" si="17"/>
        <v>2397.8516632524552</v>
      </c>
      <c r="D98" s="514">
        <f t="shared" si="17"/>
        <v>0</v>
      </c>
      <c r="E98" s="514">
        <f t="shared" si="17"/>
        <v>-358.63963105366565</v>
      </c>
      <c r="F98" s="514">
        <f t="shared" si="17"/>
        <v>0</v>
      </c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50"/>
      <c r="B99" s="514"/>
      <c r="C99" s="514"/>
      <c r="D99" s="514"/>
      <c r="E99" s="514"/>
      <c r="F99" s="517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8" t="s">
        <v>504</v>
      </c>
      <c r="B100" s="514">
        <f t="shared" ref="B100:F100" si="18">B43</f>
        <v>215909091.91730642</v>
      </c>
      <c r="C100" s="514">
        <f t="shared" si="18"/>
        <v>254065527.84767005</v>
      </c>
      <c r="D100" s="514">
        <f t="shared" si="18"/>
        <v>254067925.69933331</v>
      </c>
      <c r="E100" s="514">
        <f t="shared" si="18"/>
        <v>253824759.08703154</v>
      </c>
      <c r="F100" s="514">
        <f t="shared" si="18"/>
        <v>253824400.44740048</v>
      </c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52" t="s">
        <v>505</v>
      </c>
      <c r="B101" s="650">
        <f>'Calculos auxiliares'!F210</f>
        <v>24260325</v>
      </c>
      <c r="C101" s="650">
        <f>'Calculos auxiliares'!$F$212</f>
        <v>28181250</v>
      </c>
      <c r="D101" s="650">
        <f>'Calculos auxiliares'!$F$212</f>
        <v>28181250</v>
      </c>
      <c r="E101" s="650">
        <f>'Calculos auxiliares'!$F$212</f>
        <v>28181250</v>
      </c>
      <c r="F101" s="650">
        <f>'Calculos auxiliares'!$F$212</f>
        <v>28181250</v>
      </c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50" t="s">
        <v>506</v>
      </c>
      <c r="B102" s="514">
        <f t="shared" ref="B102:F102" si="19">B44</f>
        <v>8.8996784633885326</v>
      </c>
      <c r="C102" s="514">
        <f t="shared" si="19"/>
        <v>9.0154101697997806</v>
      </c>
      <c r="D102" s="514">
        <f t="shared" si="19"/>
        <v>9.0154952565742583</v>
      </c>
      <c r="E102" s="514">
        <f t="shared" si="19"/>
        <v>9.0068665899146261</v>
      </c>
      <c r="F102" s="514">
        <f t="shared" si="19"/>
        <v>9.0068538637356568</v>
      </c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50"/>
      <c r="B103" s="518"/>
      <c r="C103" s="518"/>
      <c r="D103" s="518"/>
      <c r="E103" s="518"/>
      <c r="F103" s="642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50" t="s">
        <v>485</v>
      </c>
      <c r="B104" s="518"/>
      <c r="C104" s="518"/>
      <c r="D104" s="518"/>
      <c r="E104" s="518"/>
      <c r="F104" s="642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621" t="s">
        <v>507</v>
      </c>
      <c r="B105" s="515">
        <v>0</v>
      </c>
      <c r="C105" s="514">
        <f t="shared" ref="C105:F105" si="20">B106</f>
        <v>3318022.6231128299</v>
      </c>
      <c r="D105" s="514">
        <f t="shared" si="20"/>
        <v>3361170.2965556034</v>
      </c>
      <c r="E105" s="514">
        <f t="shared" si="20"/>
        <v>3361202.0190322977</v>
      </c>
      <c r="F105" s="514">
        <f t="shared" si="20"/>
        <v>3357985.0363849206</v>
      </c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621" t="s">
        <v>508</v>
      </c>
      <c r="B106" s="514">
        <f t="shared" ref="B106:F106" si="21">($B$101-$B$86)*B102</f>
        <v>3318022.6231128299</v>
      </c>
      <c r="C106" s="514">
        <f t="shared" si="21"/>
        <v>3361170.2965556034</v>
      </c>
      <c r="D106" s="514">
        <f t="shared" si="21"/>
        <v>3361202.0190322977</v>
      </c>
      <c r="E106" s="514">
        <f t="shared" si="21"/>
        <v>3357985.0363849206</v>
      </c>
      <c r="F106" s="514">
        <f t="shared" si="21"/>
        <v>3357980.2917472464</v>
      </c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50" t="s">
        <v>509</v>
      </c>
      <c r="B107" s="514">
        <f>($B$101-$B$86)*B102</f>
        <v>3318022.6231128299</v>
      </c>
      <c r="C107" s="514">
        <f t="shared" ref="C107:F107" si="22">C106-C105</f>
        <v>43147.673442773521</v>
      </c>
      <c r="D107" s="514">
        <f t="shared" si="22"/>
        <v>31.722476694267243</v>
      </c>
      <c r="E107" s="514">
        <f t="shared" si="22"/>
        <v>-3216.9826473770663</v>
      </c>
      <c r="F107" s="514">
        <f t="shared" si="22"/>
        <v>-4.7446376741863787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50"/>
      <c r="B108" s="518"/>
      <c r="C108" s="518"/>
      <c r="D108" s="518"/>
      <c r="E108" s="518"/>
      <c r="F108" s="642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8" t="s">
        <v>510</v>
      </c>
      <c r="B109" s="514">
        <f t="shared" ref="B109:F109" si="23">B100-B107</f>
        <v>212591069.2941936</v>
      </c>
      <c r="C109" s="514">
        <f t="shared" si="23"/>
        <v>254022380.17422727</v>
      </c>
      <c r="D109" s="514">
        <f t="shared" si="23"/>
        <v>254067893.97685662</v>
      </c>
      <c r="E109" s="514">
        <f t="shared" si="23"/>
        <v>253827976.06967893</v>
      </c>
      <c r="F109" s="514">
        <f t="shared" si="23"/>
        <v>253824405.19203815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50"/>
      <c r="B110" s="514"/>
      <c r="C110" s="514"/>
      <c r="D110" s="514"/>
      <c r="E110" s="514"/>
      <c r="F110" s="517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8" t="s">
        <v>511</v>
      </c>
      <c r="B111" s="514">
        <f t="shared" ref="B111:F111" si="24">B61</f>
        <v>45019078.908247784</v>
      </c>
      <c r="C111" s="514">
        <f t="shared" si="24"/>
        <v>45833242.919207767</v>
      </c>
      <c r="D111" s="514">
        <f t="shared" si="24"/>
        <v>45833242.919207767</v>
      </c>
      <c r="E111" s="514">
        <f t="shared" si="24"/>
        <v>45839914.622344792</v>
      </c>
      <c r="F111" s="514">
        <f t="shared" si="24"/>
        <v>45839914.622344792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8" t="s">
        <v>512</v>
      </c>
      <c r="B112" s="518">
        <f t="shared" ref="B112:F112" si="25">B78</f>
        <v>12891752.958982928</v>
      </c>
      <c r="C112" s="518">
        <f t="shared" si="25"/>
        <v>14927208.289203426</v>
      </c>
      <c r="D112" s="518">
        <f t="shared" si="25"/>
        <v>14927208.289203426</v>
      </c>
      <c r="E112" s="518">
        <f t="shared" si="25"/>
        <v>14932093.99063891</v>
      </c>
      <c r="F112" s="518">
        <f t="shared" si="25"/>
        <v>14932093.99063891</v>
      </c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50"/>
      <c r="B113" s="518"/>
      <c r="C113" s="518"/>
      <c r="D113" s="518"/>
      <c r="E113" s="518"/>
      <c r="F113" s="642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8" t="s">
        <v>513</v>
      </c>
      <c r="B114" s="518">
        <f t="shared" ref="B114:F114" si="26">B109+B111+B112</f>
        <v>270501901.16142434</v>
      </c>
      <c r="C114" s="518">
        <f t="shared" si="26"/>
        <v>314782831.38263845</v>
      </c>
      <c r="D114" s="518">
        <f t="shared" si="26"/>
        <v>314828345.18526781</v>
      </c>
      <c r="E114" s="518">
        <f t="shared" si="26"/>
        <v>314599984.68266267</v>
      </c>
      <c r="F114" s="518">
        <f t="shared" si="26"/>
        <v>314596413.80502182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50"/>
      <c r="B115" s="518"/>
      <c r="C115" s="518"/>
      <c r="D115" s="518"/>
      <c r="E115" s="518"/>
      <c r="F115" s="642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8" t="s">
        <v>514</v>
      </c>
      <c r="B116" s="518">
        <f t="shared" ref="B116:F116" si="27">B114/B86</f>
        <v>11.323993769185739</v>
      </c>
      <c r="C116" s="518">
        <f t="shared" si="27"/>
        <v>11.169938572016445</v>
      </c>
      <c r="D116" s="518">
        <f t="shared" si="27"/>
        <v>11.171553610477456</v>
      </c>
      <c r="E116" s="518">
        <f t="shared" si="27"/>
        <v>11.163450332496346</v>
      </c>
      <c r="F116" s="518">
        <f t="shared" si="27"/>
        <v>11.163323621380238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50"/>
      <c r="B117" s="518"/>
      <c r="C117" s="518"/>
      <c r="D117" s="518"/>
      <c r="E117" s="518"/>
      <c r="F117" s="642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8" t="s">
        <v>515</v>
      </c>
      <c r="B118" s="518">
        <f t="shared" ref="B118:F118" si="28">B88-B114</f>
        <v>63923098.838575661</v>
      </c>
      <c r="C118" s="518">
        <f t="shared" si="28"/>
        <v>79754668.617361546</v>
      </c>
      <c r="D118" s="518">
        <f t="shared" si="28"/>
        <v>79709154.814732194</v>
      </c>
      <c r="E118" s="518">
        <f t="shared" si="28"/>
        <v>79937515.317337334</v>
      </c>
      <c r="F118" s="518">
        <f t="shared" si="28"/>
        <v>79941086.194978178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8" t="s">
        <v>10</v>
      </c>
      <c r="B119" s="518">
        <f>B118*InfoInicial!$B$5</f>
        <v>1598077.4709643917</v>
      </c>
      <c r="C119" s="518">
        <f>C118*InfoInicial!$B$5</f>
        <v>1993866.7154340388</v>
      </c>
      <c r="D119" s="518">
        <f>D118*InfoInicial!$B$5</f>
        <v>1992728.8703683049</v>
      </c>
      <c r="E119" s="518">
        <f>E118*InfoInicial!$B$5</f>
        <v>1998437.8829334334</v>
      </c>
      <c r="F119" s="518">
        <f>F118*InfoInicial!$B$5</f>
        <v>1998527.1548744545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124" t="s">
        <v>516</v>
      </c>
      <c r="B120" s="518">
        <f>(B118-B119)*InfoInicial!$B$4</f>
        <v>21813757.478663944</v>
      </c>
      <c r="C120" s="518">
        <f>(C118-C119)*InfoInicial!$B$4</f>
        <v>27216280.665674623</v>
      </c>
      <c r="D120" s="518">
        <f>(D118-D119)*InfoInicial!$B$4</f>
        <v>27200749.080527361</v>
      </c>
      <c r="E120" s="518">
        <f>(E118-E119)*InfoInicial!$B$4</f>
        <v>27278677.102041364</v>
      </c>
      <c r="F120" s="518">
        <f>(F118-F119)*InfoInicial!$B$4</f>
        <v>27279895.6640363</v>
      </c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8"/>
      <c r="B121" s="518"/>
      <c r="C121" s="518"/>
      <c r="D121" s="518"/>
      <c r="E121" s="518"/>
      <c r="F121" s="642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124" t="s">
        <v>517</v>
      </c>
      <c r="B122" s="518">
        <f t="shared" ref="B122:F122" si="29">B118-B119-B120</f>
        <v>40511263.888947323</v>
      </c>
      <c r="C122" s="518">
        <f t="shared" si="29"/>
        <v>50544521.236252874</v>
      </c>
      <c r="D122" s="518">
        <f t="shared" si="29"/>
        <v>50515676.863836527</v>
      </c>
      <c r="E122" s="518">
        <f t="shared" si="29"/>
        <v>50660400.332362533</v>
      </c>
      <c r="F122" s="518">
        <f t="shared" si="29"/>
        <v>50662663.376067415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8" t="s">
        <v>518</v>
      </c>
      <c r="B123" s="651">
        <f t="shared" ref="B123:F123" si="30">B122/B88</f>
        <v>0.12113706776989557</v>
      </c>
      <c r="C123" s="651">
        <f t="shared" si="30"/>
        <v>0.12811081642746983</v>
      </c>
      <c r="D123" s="651">
        <f t="shared" si="30"/>
        <v>0.12803770709713658</v>
      </c>
      <c r="E123" s="877">
        <f t="shared" si="30"/>
        <v>0.12840452512717432</v>
      </c>
      <c r="F123" s="877">
        <f t="shared" si="30"/>
        <v>0.12841026106787673</v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8"/>
      <c r="B124" s="651"/>
      <c r="C124" s="651"/>
      <c r="D124" s="651"/>
      <c r="E124" s="651"/>
      <c r="F124" s="652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8" t="s">
        <v>519</v>
      </c>
      <c r="B125" s="651"/>
      <c r="C125" s="651"/>
      <c r="D125" s="651"/>
      <c r="E125" s="651"/>
      <c r="F125" s="652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124" t="s">
        <v>520</v>
      </c>
      <c r="B126" s="875">
        <f>+B122</f>
        <v>40511263.888947323</v>
      </c>
      <c r="C126" s="875">
        <f t="shared" ref="C126:F126" si="31">+C122</f>
        <v>50544521.236252874</v>
      </c>
      <c r="D126" s="875">
        <f t="shared" si="31"/>
        <v>50515676.863836527</v>
      </c>
      <c r="E126" s="875">
        <f t="shared" si="31"/>
        <v>50660400.332362533</v>
      </c>
      <c r="F126" s="875">
        <f t="shared" si="31"/>
        <v>50662663.376067415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8" t="s">
        <v>521</v>
      </c>
      <c r="B127" s="653">
        <f t="shared" ref="B127:F127" si="32">B10+B53+B70</f>
        <v>2694352.4381649173</v>
      </c>
      <c r="C127" s="653">
        <f t="shared" si="32"/>
        <v>2694352.4381649173</v>
      </c>
      <c r="D127" s="653">
        <f t="shared" si="32"/>
        <v>2694352.4381649173</v>
      </c>
      <c r="E127" s="653">
        <f t="shared" si="32"/>
        <v>2467775.4084278932</v>
      </c>
      <c r="F127" s="653">
        <f t="shared" si="32"/>
        <v>2467775.4084278932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97" t="s">
        <v>192</v>
      </c>
      <c r="B128" s="653">
        <f t="shared" ref="B128:F128" si="33">B126-B127</f>
        <v>37816911.450782403</v>
      </c>
      <c r="C128" s="653">
        <f t="shared" si="33"/>
        <v>47850168.798087955</v>
      </c>
      <c r="D128" s="653">
        <f t="shared" si="33"/>
        <v>47821324.425671607</v>
      </c>
      <c r="E128" s="653">
        <f t="shared" si="33"/>
        <v>48192624.923934639</v>
      </c>
      <c r="F128" s="653">
        <f t="shared" si="33"/>
        <v>48194887.967639521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8"/>
      <c r="B129" s="51"/>
      <c r="C129" s="51"/>
      <c r="D129" s="51"/>
      <c r="E129" s="51"/>
      <c r="F129" s="604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8" t="s">
        <v>522</v>
      </c>
      <c r="B130" s="51">
        <f t="shared" ref="B130:F130" si="34">B17*B19</f>
        <v>3571290.863250426</v>
      </c>
      <c r="C130" s="51">
        <f t="shared" si="34"/>
        <v>3800405.3258097558</v>
      </c>
      <c r="D130" s="51">
        <f t="shared" si="34"/>
        <v>3800405.3258097558</v>
      </c>
      <c r="E130" s="51">
        <f t="shared" si="34"/>
        <v>3556838.1622169549</v>
      </c>
      <c r="F130" s="51">
        <f t="shared" si="34"/>
        <v>3556838.1622169549</v>
      </c>
      <c r="G130" s="478"/>
      <c r="H130" s="478"/>
      <c r="I130" s="478"/>
      <c r="J130" s="478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124" t="s">
        <v>523</v>
      </c>
      <c r="B131" s="51">
        <f>B17*B20</f>
        <v>217470956.3344112</v>
      </c>
      <c r="C131" s="51">
        <f t="shared" ref="C131:F131" si="35">C17*C20</f>
        <v>250267520.37352353</v>
      </c>
      <c r="D131" s="51">
        <f t="shared" si="35"/>
        <v>250267520.37352353</v>
      </c>
      <c r="E131" s="51">
        <f t="shared" si="35"/>
        <v>250267562.28518352</v>
      </c>
      <c r="F131" s="51">
        <f t="shared" si="35"/>
        <v>250267562.28518352</v>
      </c>
      <c r="G131" s="542"/>
      <c r="H131" s="478"/>
      <c r="I131" s="478"/>
      <c r="J131" s="478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8" t="s">
        <v>524</v>
      </c>
      <c r="B132" s="51">
        <f t="shared" ref="B132:F132" si="36">B61*B63</f>
        <v>45019078.908247784</v>
      </c>
      <c r="C132" s="51">
        <f t="shared" si="36"/>
        <v>45833242.919207767</v>
      </c>
      <c r="D132" s="51">
        <f t="shared" si="36"/>
        <v>45833242.919207767</v>
      </c>
      <c r="E132" s="51">
        <f t="shared" si="36"/>
        <v>45839914.622344792</v>
      </c>
      <c r="F132" s="51">
        <f t="shared" si="36"/>
        <v>45839914.622344792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124" t="s">
        <v>525</v>
      </c>
      <c r="B133" s="654">
        <f t="shared" ref="B133:F133" si="37">B61*B64</f>
        <v>0</v>
      </c>
      <c r="C133" s="654">
        <f t="shared" si="37"/>
        <v>0</v>
      </c>
      <c r="D133" s="654">
        <f t="shared" si="37"/>
        <v>0</v>
      </c>
      <c r="E133" s="654">
        <f t="shared" si="37"/>
        <v>0</v>
      </c>
      <c r="F133" s="654">
        <f t="shared" si="37"/>
        <v>0</v>
      </c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8" t="s">
        <v>526</v>
      </c>
      <c r="B134" s="51">
        <f t="shared" ref="B134:F134" si="38">B78*B80</f>
        <v>2823004.6039436809</v>
      </c>
      <c r="C134" s="51">
        <f t="shared" si="38"/>
        <v>3055083.2892034259</v>
      </c>
      <c r="D134" s="51">
        <f t="shared" si="38"/>
        <v>3055083.2892034259</v>
      </c>
      <c r="E134" s="51">
        <f t="shared" si="38"/>
        <v>3059970.2706389092</v>
      </c>
      <c r="F134" s="51">
        <f t="shared" si="38"/>
        <v>3059968.9906389094</v>
      </c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124" t="s">
        <v>527</v>
      </c>
      <c r="B135" s="54">
        <f t="shared" ref="B135:F135" si="39">B78*B81</f>
        <v>10068748.355039246</v>
      </c>
      <c r="C135" s="54">
        <f t="shared" si="39"/>
        <v>11872125</v>
      </c>
      <c r="D135" s="54">
        <f t="shared" si="39"/>
        <v>11872125</v>
      </c>
      <c r="E135" s="54">
        <f t="shared" si="39"/>
        <v>11872123.720000001</v>
      </c>
      <c r="F135" s="54">
        <f t="shared" si="39"/>
        <v>11872125</v>
      </c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8" t="s">
        <v>528</v>
      </c>
      <c r="B136" s="51">
        <f t="shared" ref="B136:F136" si="40">B88-B131-B133-B135</f>
        <v>106885295.31054956</v>
      </c>
      <c r="C136" s="51">
        <f t="shared" si="40"/>
        <v>132397854.62647647</v>
      </c>
      <c r="D136" s="51">
        <f t="shared" si="40"/>
        <v>132397854.62647647</v>
      </c>
      <c r="E136" s="51">
        <f t="shared" si="40"/>
        <v>132397813.99481648</v>
      </c>
      <c r="F136" s="51">
        <f t="shared" si="40"/>
        <v>132397812.71481648</v>
      </c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97" t="s">
        <v>529</v>
      </c>
      <c r="B137" s="89"/>
      <c r="C137" s="89"/>
      <c r="D137" s="89"/>
      <c r="E137" s="89"/>
      <c r="F137" s="655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>
      <c r="A138" s="656" t="s">
        <v>530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939" t="s">
        <v>72</v>
      </c>
      <c r="B141" s="940"/>
      <c r="C141" s="940"/>
      <c r="D141" s="940"/>
      <c r="E141" s="941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657" t="s">
        <v>20</v>
      </c>
      <c r="B142" s="658" t="s">
        <v>531</v>
      </c>
      <c r="C142" s="658" t="s">
        <v>532</v>
      </c>
      <c r="D142" s="658" t="s">
        <v>533</v>
      </c>
      <c r="E142" s="658" t="s">
        <v>534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659">
        <v>0</v>
      </c>
      <c r="B143" s="660">
        <f t="shared" ref="B143:B159" si="41">B$130+B$132+B$134</f>
        <v>51413374.375441894</v>
      </c>
      <c r="C143" s="540">
        <f t="shared" ref="C143:C159" si="42">A143*(B$131+B$133+B$135)/B$86</f>
        <v>0</v>
      </c>
      <c r="D143" s="660">
        <f t="shared" ref="D143:D159" si="43">B143+C143</f>
        <v>51413374.375441894</v>
      </c>
      <c r="E143" s="661">
        <f t="shared" ref="E143:E159" si="44">A143*$B$87</f>
        <v>0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662">
        <v>1000000</v>
      </c>
      <c r="B144" s="660">
        <f t="shared" si="41"/>
        <v>51413374.375441894</v>
      </c>
      <c r="C144" s="540">
        <f t="shared" si="42"/>
        <v>9525471.6772140432</v>
      </c>
      <c r="D144" s="660">
        <f t="shared" si="43"/>
        <v>60938846.052655935</v>
      </c>
      <c r="E144" s="661">
        <f t="shared" si="44"/>
        <v>14000000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662">
        <v>2000000</v>
      </c>
      <c r="B145" s="660">
        <f t="shared" si="41"/>
        <v>51413374.375441894</v>
      </c>
      <c r="C145" s="540">
        <f t="shared" si="42"/>
        <v>19050943.354428086</v>
      </c>
      <c r="D145" s="660">
        <f t="shared" si="43"/>
        <v>70464317.729869977</v>
      </c>
      <c r="E145" s="661">
        <f t="shared" si="44"/>
        <v>28000000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662">
        <v>3000000</v>
      </c>
      <c r="B146" s="660">
        <f t="shared" si="41"/>
        <v>51413374.375441894</v>
      </c>
      <c r="C146" s="540">
        <f t="shared" si="42"/>
        <v>28576415.031642132</v>
      </c>
      <c r="D146" s="660">
        <f t="shared" si="43"/>
        <v>79989789.407084018</v>
      </c>
      <c r="E146" s="661">
        <f t="shared" si="44"/>
        <v>42000000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662">
        <v>4000000</v>
      </c>
      <c r="B147" s="660">
        <f t="shared" si="41"/>
        <v>51413374.375441894</v>
      </c>
      <c r="C147" s="540">
        <f t="shared" si="42"/>
        <v>38101886.708856173</v>
      </c>
      <c r="D147" s="660">
        <f t="shared" si="43"/>
        <v>89515261.084298074</v>
      </c>
      <c r="E147" s="661">
        <f t="shared" si="44"/>
        <v>56000000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662">
        <v>5000000</v>
      </c>
      <c r="B148" s="660">
        <f t="shared" si="41"/>
        <v>51413374.375441894</v>
      </c>
      <c r="C148" s="540">
        <f t="shared" si="42"/>
        <v>47627358.386070214</v>
      </c>
      <c r="D148" s="660">
        <f t="shared" si="43"/>
        <v>99040732.761512101</v>
      </c>
      <c r="E148" s="661">
        <f t="shared" si="44"/>
        <v>70000000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662">
        <v>6000000</v>
      </c>
      <c r="B149" s="660">
        <f t="shared" si="41"/>
        <v>51413374.375441894</v>
      </c>
      <c r="C149" s="540">
        <f t="shared" si="42"/>
        <v>57152830.063284263</v>
      </c>
      <c r="D149" s="660">
        <f t="shared" si="43"/>
        <v>108566204.43872616</v>
      </c>
      <c r="E149" s="661">
        <f t="shared" si="44"/>
        <v>84000000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662">
        <v>7000000</v>
      </c>
      <c r="B150" s="660">
        <f t="shared" si="41"/>
        <v>51413374.375441894</v>
      </c>
      <c r="C150" s="540">
        <f t="shared" si="42"/>
        <v>66678301.740498297</v>
      </c>
      <c r="D150" s="660">
        <f t="shared" si="43"/>
        <v>118091676.11594018</v>
      </c>
      <c r="E150" s="661">
        <f t="shared" si="44"/>
        <v>98000000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662">
        <v>8000000</v>
      </c>
      <c r="B151" s="660">
        <f t="shared" si="41"/>
        <v>51413374.375441894</v>
      </c>
      <c r="C151" s="540">
        <f t="shared" si="42"/>
        <v>76203773.417712346</v>
      </c>
      <c r="D151" s="660">
        <f t="shared" si="43"/>
        <v>127617147.79315424</v>
      </c>
      <c r="E151" s="661">
        <f t="shared" si="44"/>
        <v>112000000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662">
        <v>9000000</v>
      </c>
      <c r="B152" s="660">
        <f t="shared" si="41"/>
        <v>51413374.375441894</v>
      </c>
      <c r="C152" s="540">
        <f t="shared" si="42"/>
        <v>85729245.094926387</v>
      </c>
      <c r="D152" s="660">
        <f t="shared" si="43"/>
        <v>137142619.47036827</v>
      </c>
      <c r="E152" s="661">
        <f t="shared" si="44"/>
        <v>126000000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662">
        <v>10000000</v>
      </c>
      <c r="B153" s="660">
        <f t="shared" si="41"/>
        <v>51413374.375441894</v>
      </c>
      <c r="C153" s="540">
        <f t="shared" si="42"/>
        <v>95254716.772140428</v>
      </c>
      <c r="D153" s="660">
        <f t="shared" si="43"/>
        <v>146668091.14758232</v>
      </c>
      <c r="E153" s="661">
        <f t="shared" si="44"/>
        <v>140000000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662">
        <v>11000000</v>
      </c>
      <c r="B154" s="660">
        <f t="shared" si="41"/>
        <v>51413374.375441894</v>
      </c>
      <c r="C154" s="540">
        <f t="shared" si="42"/>
        <v>104780188.44935447</v>
      </c>
      <c r="D154" s="660">
        <f t="shared" si="43"/>
        <v>156193562.82479638</v>
      </c>
      <c r="E154" s="661">
        <f t="shared" si="44"/>
        <v>154000000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662">
        <v>12000000</v>
      </c>
      <c r="B155" s="660">
        <f t="shared" si="41"/>
        <v>51413374.375441894</v>
      </c>
      <c r="C155" s="540">
        <f t="shared" si="42"/>
        <v>114305660.12656853</v>
      </c>
      <c r="D155" s="660">
        <f t="shared" si="43"/>
        <v>165719034.50201041</v>
      </c>
      <c r="E155" s="661">
        <f t="shared" si="44"/>
        <v>168000000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662">
        <v>13000000</v>
      </c>
      <c r="B156" s="660">
        <f t="shared" si="41"/>
        <v>51413374.375441894</v>
      </c>
      <c r="C156" s="540">
        <f t="shared" si="42"/>
        <v>123831131.80378257</v>
      </c>
      <c r="D156" s="660">
        <f t="shared" si="43"/>
        <v>175244506.17922446</v>
      </c>
      <c r="E156" s="661">
        <f t="shared" si="44"/>
        <v>182000000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662">
        <v>14000000</v>
      </c>
      <c r="B157" s="660">
        <f t="shared" si="41"/>
        <v>51413374.375441894</v>
      </c>
      <c r="C157" s="540">
        <f t="shared" si="42"/>
        <v>133356603.48099659</v>
      </c>
      <c r="D157" s="660">
        <f t="shared" si="43"/>
        <v>184769977.85643849</v>
      </c>
      <c r="E157" s="661">
        <f t="shared" si="44"/>
        <v>196000000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662">
        <v>15000000</v>
      </c>
      <c r="B158" s="660">
        <f t="shared" si="41"/>
        <v>51413374.375441894</v>
      </c>
      <c r="C158" s="540">
        <f t="shared" si="42"/>
        <v>142882075.15821064</v>
      </c>
      <c r="D158" s="660">
        <f t="shared" si="43"/>
        <v>194295449.53365254</v>
      </c>
      <c r="E158" s="661">
        <f t="shared" si="44"/>
        <v>210000000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662">
        <v>16000000</v>
      </c>
      <c r="B159" s="660">
        <f t="shared" si="41"/>
        <v>51413374.375441894</v>
      </c>
      <c r="C159" s="540">
        <f t="shared" si="42"/>
        <v>152407546.83542469</v>
      </c>
      <c r="D159" s="660">
        <f t="shared" si="43"/>
        <v>203820921.21086657</v>
      </c>
      <c r="E159" s="661">
        <f t="shared" si="44"/>
        <v>224000000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663" t="s">
        <v>535</v>
      </c>
      <c r="B160" s="942">
        <f>($B$130+$B$132+$B$134)/(B136/$B$86)</f>
        <v>11490233.308754787</v>
      </c>
      <c r="C160" s="940"/>
      <c r="D160" s="664" t="s">
        <v>536</v>
      </c>
      <c r="E160" s="665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939" t="s">
        <v>363</v>
      </c>
      <c r="B163" s="940"/>
      <c r="C163" s="940"/>
      <c r="D163" s="940"/>
      <c r="E163" s="941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657" t="s">
        <v>20</v>
      </c>
      <c r="B164" s="658" t="s">
        <v>531</v>
      </c>
      <c r="C164" s="658" t="s">
        <v>532</v>
      </c>
      <c r="D164" s="658" t="s">
        <v>533</v>
      </c>
      <c r="E164" s="658" t="s">
        <v>534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659">
        <v>0</v>
      </c>
      <c r="B165" s="660">
        <f t="shared" ref="B165:B181" si="45">F$130+F$132+F$134</f>
        <v>52456721.775200658</v>
      </c>
      <c r="C165" s="666">
        <f t="shared" ref="C165:C181" si="46">A165*($F$131+$F$133+$F$135)/$F$86</f>
        <v>0</v>
      </c>
      <c r="D165" s="660">
        <f t="shared" ref="D165:D181" si="47">SUM(B165+C165)</f>
        <v>52456721.775200658</v>
      </c>
      <c r="E165" s="667">
        <f t="shared" ref="E165:E181" si="48">A165*$F$87</f>
        <v>0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662">
        <v>1000000</v>
      </c>
      <c r="B166" s="660">
        <f t="shared" si="45"/>
        <v>52456721.775200658</v>
      </c>
      <c r="C166" s="666">
        <f t="shared" si="46"/>
        <v>9301918.3778286465</v>
      </c>
      <c r="D166" s="660">
        <f t="shared" si="47"/>
        <v>61758640.153029308</v>
      </c>
      <c r="E166" s="667">
        <f t="shared" si="48"/>
        <v>14000000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662">
        <v>2000000</v>
      </c>
      <c r="B167" s="660">
        <f t="shared" si="45"/>
        <v>52456721.775200658</v>
      </c>
      <c r="C167" s="666">
        <f t="shared" si="46"/>
        <v>18603836.755657293</v>
      </c>
      <c r="D167" s="660">
        <f t="shared" si="47"/>
        <v>71060558.53085795</v>
      </c>
      <c r="E167" s="667">
        <f t="shared" si="48"/>
        <v>28000000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662">
        <v>3000000</v>
      </c>
      <c r="B168" s="660">
        <f t="shared" si="45"/>
        <v>52456721.775200658</v>
      </c>
      <c r="C168" s="666">
        <f t="shared" si="46"/>
        <v>27905755.133485936</v>
      </c>
      <c r="D168" s="660">
        <f t="shared" si="47"/>
        <v>80362476.908686593</v>
      </c>
      <c r="E168" s="667">
        <f t="shared" si="48"/>
        <v>42000000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662">
        <v>4000000</v>
      </c>
      <c r="B169" s="660">
        <f t="shared" si="45"/>
        <v>52456721.775200658</v>
      </c>
      <c r="C169" s="666">
        <f t="shared" si="46"/>
        <v>37207673.511314586</v>
      </c>
      <c r="D169" s="660">
        <f t="shared" si="47"/>
        <v>89664395.286515236</v>
      </c>
      <c r="E169" s="667">
        <f t="shared" si="48"/>
        <v>56000000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662">
        <v>5000000</v>
      </c>
      <c r="B170" s="660">
        <f t="shared" si="45"/>
        <v>52456721.775200658</v>
      </c>
      <c r="C170" s="666">
        <f t="shared" si="46"/>
        <v>46509591.889143221</v>
      </c>
      <c r="D170" s="660">
        <f t="shared" si="47"/>
        <v>98966313.664343879</v>
      </c>
      <c r="E170" s="667">
        <f t="shared" si="48"/>
        <v>70000000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662">
        <v>6000000</v>
      </c>
      <c r="B171" s="660">
        <f t="shared" si="45"/>
        <v>52456721.775200658</v>
      </c>
      <c r="C171" s="666">
        <f t="shared" si="46"/>
        <v>55811510.266971871</v>
      </c>
      <c r="D171" s="660">
        <f t="shared" si="47"/>
        <v>108268232.04217252</v>
      </c>
      <c r="E171" s="667">
        <f t="shared" si="48"/>
        <v>84000000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662">
        <v>7000000</v>
      </c>
      <c r="B172" s="660">
        <f t="shared" si="45"/>
        <v>52456721.775200658</v>
      </c>
      <c r="C172" s="666">
        <f t="shared" si="46"/>
        <v>65113428.644800521</v>
      </c>
      <c r="D172" s="660">
        <f t="shared" si="47"/>
        <v>117570150.42000118</v>
      </c>
      <c r="E172" s="667">
        <f t="shared" si="48"/>
        <v>98000000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662">
        <v>8000000</v>
      </c>
      <c r="B173" s="660">
        <f t="shared" si="45"/>
        <v>52456721.775200658</v>
      </c>
      <c r="C173" s="666">
        <f t="shared" si="46"/>
        <v>74415347.022629172</v>
      </c>
      <c r="D173" s="660">
        <f t="shared" si="47"/>
        <v>126872068.79782984</v>
      </c>
      <c r="E173" s="667">
        <f t="shared" si="48"/>
        <v>112000000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662">
        <v>9000000</v>
      </c>
      <c r="B174" s="660">
        <f t="shared" si="45"/>
        <v>52456721.775200658</v>
      </c>
      <c r="C174" s="666">
        <f t="shared" si="46"/>
        <v>83717265.400457799</v>
      </c>
      <c r="D174" s="660">
        <f t="shared" si="47"/>
        <v>136173987.17565846</v>
      </c>
      <c r="E174" s="667">
        <f t="shared" si="48"/>
        <v>126000000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662">
        <v>10000000</v>
      </c>
      <c r="B175" s="660">
        <f t="shared" si="45"/>
        <v>52456721.775200658</v>
      </c>
      <c r="C175" s="666">
        <f t="shared" si="46"/>
        <v>93019183.778286442</v>
      </c>
      <c r="D175" s="660">
        <f t="shared" si="47"/>
        <v>145475905.55348709</v>
      </c>
      <c r="E175" s="667">
        <f t="shared" si="48"/>
        <v>140000000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662">
        <v>11000000</v>
      </c>
      <c r="B176" s="660">
        <f t="shared" si="45"/>
        <v>52456721.775200658</v>
      </c>
      <c r="C176" s="666">
        <f t="shared" si="46"/>
        <v>102321102.1561151</v>
      </c>
      <c r="D176" s="660">
        <f t="shared" si="47"/>
        <v>154777823.93131575</v>
      </c>
      <c r="E176" s="667">
        <f t="shared" si="48"/>
        <v>154000000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662">
        <v>12000000</v>
      </c>
      <c r="B177" s="660">
        <f t="shared" si="45"/>
        <v>52456721.775200658</v>
      </c>
      <c r="C177" s="666">
        <f t="shared" si="46"/>
        <v>111623020.53394374</v>
      </c>
      <c r="D177" s="660">
        <f t="shared" si="47"/>
        <v>164079742.30914441</v>
      </c>
      <c r="E177" s="667">
        <f t="shared" si="48"/>
        <v>168000000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662">
        <v>13000000</v>
      </c>
      <c r="B178" s="660">
        <f t="shared" si="45"/>
        <v>52456721.775200658</v>
      </c>
      <c r="C178" s="666">
        <f t="shared" si="46"/>
        <v>120924938.91177239</v>
      </c>
      <c r="D178" s="660">
        <f t="shared" si="47"/>
        <v>173381660.68697304</v>
      </c>
      <c r="E178" s="667">
        <f t="shared" si="48"/>
        <v>182000000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662">
        <v>14000000</v>
      </c>
      <c r="B179" s="660">
        <f t="shared" si="45"/>
        <v>52456721.775200658</v>
      </c>
      <c r="C179" s="666">
        <f t="shared" si="46"/>
        <v>130226857.28960104</v>
      </c>
      <c r="D179" s="660">
        <f t="shared" si="47"/>
        <v>182683579.06480169</v>
      </c>
      <c r="E179" s="667">
        <f t="shared" si="48"/>
        <v>196000000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662">
        <v>15000000</v>
      </c>
      <c r="B180" s="660">
        <f t="shared" si="45"/>
        <v>52456721.775200658</v>
      </c>
      <c r="C180" s="666">
        <f t="shared" si="46"/>
        <v>139528775.66742969</v>
      </c>
      <c r="D180" s="660">
        <f t="shared" si="47"/>
        <v>191985497.44263035</v>
      </c>
      <c r="E180" s="667">
        <f t="shared" si="48"/>
        <v>210000000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662">
        <v>16000000</v>
      </c>
      <c r="B181" s="660">
        <f t="shared" si="45"/>
        <v>52456721.775200658</v>
      </c>
      <c r="C181" s="666">
        <f t="shared" si="46"/>
        <v>148830694.04525834</v>
      </c>
      <c r="D181" s="660">
        <f t="shared" si="47"/>
        <v>201287415.82045901</v>
      </c>
      <c r="E181" s="667">
        <f t="shared" si="48"/>
        <v>224000000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663" t="s">
        <v>535</v>
      </c>
      <c r="B182" s="942">
        <f>(F130+F132+F134)/(F87-((F13+F133+F135)/F101))</f>
        <v>3867748.8629698106</v>
      </c>
      <c r="C182" s="940"/>
      <c r="D182" s="664" t="s">
        <v>536</v>
      </c>
      <c r="E182" s="668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 spans="1:26" ht="12.75" customHeight="1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  <row r="1002" spans="1:26" ht="12.75" customHeight="1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</row>
    <row r="1003" spans="1:26" ht="12.75" customHeight="1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</row>
  </sheetData>
  <mergeCells count="4">
    <mergeCell ref="A141:E141"/>
    <mergeCell ref="B160:C160"/>
    <mergeCell ref="A163:E163"/>
    <mergeCell ref="B182:C182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B24" sqref="B24"/>
    </sheetView>
  </sheetViews>
  <sheetFormatPr baseColWidth="10" defaultColWidth="14.42578125" defaultRowHeight="15" customHeight="1"/>
  <cols>
    <col min="1" max="1" width="45.42578125" customWidth="1"/>
    <col min="2" max="2" width="18.140625" customWidth="1"/>
    <col min="3" max="5" width="16" customWidth="1"/>
    <col min="6" max="7" width="16" bestFit="1" customWidth="1"/>
    <col min="8" max="9" width="14" bestFit="1" customWidth="1"/>
    <col min="10" max="26" width="10" customWidth="1"/>
  </cols>
  <sheetData>
    <row r="1" spans="1:26" ht="12.75" customHeight="1">
      <c r="A1" s="2" t="s">
        <v>0</v>
      </c>
      <c r="E1" s="3">
        <f>InfoInicial!E1</f>
        <v>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2.75" customHeight="1">
      <c r="A2" s="2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507" t="s">
        <v>358</v>
      </c>
      <c r="B3" s="508"/>
      <c r="C3" s="508"/>
      <c r="D3" s="508"/>
      <c r="E3" s="508"/>
      <c r="F3" s="508"/>
      <c r="G3" s="50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 customHeight="1">
      <c r="A4" s="510" t="s">
        <v>359</v>
      </c>
      <c r="B4" s="44" t="s">
        <v>71</v>
      </c>
      <c r="C4" s="44" t="s">
        <v>72</v>
      </c>
      <c r="D4" s="44" t="s">
        <v>360</v>
      </c>
      <c r="E4" s="44" t="s">
        <v>361</v>
      </c>
      <c r="F4" s="44" t="s">
        <v>362</v>
      </c>
      <c r="G4" s="45" t="s">
        <v>363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511" t="s">
        <v>364</v>
      </c>
      <c r="B5" s="512"/>
      <c r="C5" s="512"/>
      <c r="D5" s="512"/>
      <c r="E5" s="512"/>
      <c r="F5" s="512"/>
      <c r="G5" s="513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511" t="s">
        <v>365</v>
      </c>
      <c r="B6" s="514">
        <f>C6*0.8</f>
        <v>5350800</v>
      </c>
      <c r="C6" s="514">
        <f>'E-Costos'!B88*0.02</f>
        <v>6688500</v>
      </c>
      <c r="D6" s="514">
        <f>'E-Costos'!C88*0.02</f>
        <v>7890750</v>
      </c>
      <c r="E6" s="514">
        <f>'E-Costos'!D88*0.02</f>
        <v>7890750</v>
      </c>
      <c r="F6" s="514">
        <f>'E-Costos'!E88*0.02</f>
        <v>7890750</v>
      </c>
      <c r="G6" s="514">
        <f>'E-Costos'!F88*0.02</f>
        <v>7890750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511" t="s">
        <v>366</v>
      </c>
      <c r="B7" s="515">
        <v>0</v>
      </c>
      <c r="C7" s="514">
        <f>'E-Costos'!B88*(InfoInicial!$B$39/360)</f>
        <v>27868750</v>
      </c>
      <c r="D7" s="514">
        <f>'E-Costos'!C88*(InfoInicial!$B$39/360)</f>
        <v>32878125</v>
      </c>
      <c r="E7" s="514">
        <f>'E-Costos'!D88*(InfoInicial!$B$39/360)</f>
        <v>32878125</v>
      </c>
      <c r="F7" s="514">
        <f>'E-Costos'!E88*(InfoInicial!$B$39/360)</f>
        <v>32878125</v>
      </c>
      <c r="G7" s="514">
        <f>'E-Costos'!F88*(InfoInicial!$B$39/360)</f>
        <v>32878125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516"/>
      <c r="B8" s="514"/>
      <c r="C8" s="514"/>
      <c r="D8" s="514"/>
      <c r="E8" s="514"/>
      <c r="F8" s="514"/>
      <c r="G8" s="517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511" t="s">
        <v>367</v>
      </c>
      <c r="B9" s="518">
        <f t="shared" ref="B9:G9" si="0">SUM(B10:B13)</f>
        <v>40550104.701132953</v>
      </c>
      <c r="C9" s="518">
        <f t="shared" si="0"/>
        <v>38764356.061687022</v>
      </c>
      <c r="D9" s="518">
        <f t="shared" si="0"/>
        <v>40634611.353414327</v>
      </c>
      <c r="E9" s="518">
        <f t="shared" si="0"/>
        <v>40634643.075891025</v>
      </c>
      <c r="F9" s="518">
        <f t="shared" si="0"/>
        <v>40641860.439293526</v>
      </c>
      <c r="G9" s="518">
        <f t="shared" si="0"/>
        <v>40641855.694655858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.75" customHeight="1">
      <c r="A10" s="516" t="s">
        <v>368</v>
      </c>
      <c r="B10" s="876">
        <f>+C10*'Calculos auxiliares'!F205/'Calculos auxiliares'!F206</f>
        <v>32162734.949999992</v>
      </c>
      <c r="C10" s="876">
        <f>'E-Costos'!B7*'Calculos auxiliares'!$F$206/'Calculos auxiliares'!F215</f>
        <v>24196829.571258746</v>
      </c>
      <c r="D10" s="876">
        <f>'E-Costos'!C7*'Calculos auxiliares'!$F$206/'Calculos auxiliares'!$F$218</f>
        <v>24449554.008337498</v>
      </c>
      <c r="E10" s="876">
        <f>'E-Costos'!D7*'Calculos auxiliares'!$F$206/'Calculos auxiliares'!$F$218</f>
        <v>24449554.008337498</v>
      </c>
      <c r="F10" s="876">
        <f>'E-Costos'!E7*'Calculos auxiliares'!$F$206/'Calculos auxiliares'!$F$218</f>
        <v>24449554.008337498</v>
      </c>
      <c r="G10" s="876">
        <f>'E-Costos'!F7*'Calculos auxiliares'!$F$206/'Calculos auxiliares'!$F$218</f>
        <v>24449554.008337498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516" t="s">
        <v>369</v>
      </c>
      <c r="B11" s="514">
        <f>C11*0.8</f>
        <v>8387369.7511329576</v>
      </c>
      <c r="C11" s="514">
        <f>'Calculos auxiliares'!J143+'Calculos auxiliares'!J158+'Calculos auxiliares'!J167</f>
        <v>10484212.188916197</v>
      </c>
      <c r="D11" s="514">
        <f>'Calculos auxiliares'!$K$158+'Calculos auxiliares'!$K$167+'Calculos auxiliares'!$K$143</f>
        <v>12056197.518458722</v>
      </c>
      <c r="E11" s="514">
        <f>'Calculos auxiliares'!$K$158+'Calculos auxiliares'!$K$167+'Calculos auxiliares'!$K$143</f>
        <v>12056197.518458722</v>
      </c>
      <c r="F11" s="514">
        <f>'Calculos auxiliares'!$L$143+'Calculos auxiliares'!$L$158+'Calculos auxiliares'!$L$167</f>
        <v>12066990.504139658</v>
      </c>
      <c r="G11" s="514">
        <f>'Calculos auxiliares'!$L$143+'Calculos auxiliares'!$L$158+'Calculos auxiliares'!$L$167</f>
        <v>12066990.504139658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516" t="s">
        <v>370</v>
      </c>
      <c r="B12" s="515">
        <v>0</v>
      </c>
      <c r="C12" s="514">
        <f>'E-Costos'!B35</f>
        <v>765291.67839925224</v>
      </c>
      <c r="D12" s="514">
        <f>'E-Costos'!C35</f>
        <v>767689.53006250469</v>
      </c>
      <c r="E12" s="514">
        <f>'E-Costos'!D35</f>
        <v>767689.53006250469</v>
      </c>
      <c r="F12" s="514">
        <f>'E-Costos'!E35</f>
        <v>767330.89043145103</v>
      </c>
      <c r="G12" s="514">
        <f>'E-Costos'!F35</f>
        <v>767330.89043145103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516" t="s">
        <v>371</v>
      </c>
      <c r="B13" s="515">
        <v>0</v>
      </c>
      <c r="C13" s="514">
        <f>'E-Costos'!B106</f>
        <v>3318022.6231128299</v>
      </c>
      <c r="D13" s="514">
        <f>'E-Costos'!C106</f>
        <v>3361170.2965556034</v>
      </c>
      <c r="E13" s="514">
        <f>'E-Costos'!D106</f>
        <v>3361202.0190322977</v>
      </c>
      <c r="F13" s="514">
        <f>'E-Costos'!E106</f>
        <v>3357985.0363849206</v>
      </c>
      <c r="G13" s="514">
        <f>'E-Costos'!F106</f>
        <v>3357980.2917472464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516"/>
      <c r="B14" s="514"/>
      <c r="C14" s="514"/>
      <c r="D14" s="514"/>
      <c r="E14" s="514"/>
      <c r="F14" s="514"/>
      <c r="G14" s="517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511" t="s">
        <v>372</v>
      </c>
      <c r="B15" s="518">
        <f t="shared" ref="B15:G15" si="1">SUM(B6:B9)</f>
        <v>45900904.701132953</v>
      </c>
      <c r="C15" s="518">
        <f t="shared" si="1"/>
        <v>73321606.061687022</v>
      </c>
      <c r="D15" s="518">
        <f t="shared" si="1"/>
        <v>81403486.353414327</v>
      </c>
      <c r="E15" s="518">
        <f t="shared" si="1"/>
        <v>81403518.075891018</v>
      </c>
      <c r="F15" s="518">
        <f t="shared" si="1"/>
        <v>81410735.439293534</v>
      </c>
      <c r="G15" s="518">
        <f t="shared" si="1"/>
        <v>81410730.694655865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511" t="s">
        <v>373</v>
      </c>
      <c r="B16" s="514"/>
      <c r="C16" s="518">
        <f t="shared" ref="C16:G16" si="2">SUM(C17:C20)</f>
        <v>5475416.8005283484</v>
      </c>
      <c r="D16" s="518">
        <f t="shared" si="2"/>
        <v>4733879.0777415251</v>
      </c>
      <c r="E16" s="518">
        <f t="shared" si="2"/>
        <v>4572518.9340975098</v>
      </c>
      <c r="F16" s="518">
        <f t="shared" si="2"/>
        <v>4528534.582902574</v>
      </c>
      <c r="G16" s="518">
        <f t="shared" si="2"/>
        <v>4526699.9652836919</v>
      </c>
      <c r="H16" s="40"/>
      <c r="I16" s="886">
        <f>+F16-G16</f>
        <v>1834.6176188820973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516" t="s">
        <v>374</v>
      </c>
      <c r="B17" s="514"/>
      <c r="C17" s="514">
        <f>'E-Costos'!B28</f>
        <v>2319.7539693523295</v>
      </c>
      <c r="D17" s="514">
        <f>'E-Costos'!C28</f>
        <v>1966.3117478076304</v>
      </c>
      <c r="E17" s="514">
        <f>'E-Costos'!D28</f>
        <v>1966.3117478076304</v>
      </c>
      <c r="F17" s="514">
        <f>'E-Costos'!E28</f>
        <v>1632.6206659496959</v>
      </c>
      <c r="G17" s="514">
        <f>'E-Costos'!F28</f>
        <v>1632.6206659496959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516" t="s">
        <v>375</v>
      </c>
      <c r="B18" s="514"/>
      <c r="C18" s="876">
        <f>('E-Costos'!B10-'E-Costos'!B28)/('Calculos auxiliares'!$F$211)*'Calculos auxiliares'!$F$208</f>
        <v>2048221.0897133593</v>
      </c>
      <c r="D18" s="514">
        <f>('E-Costos'!C10-'E-Costos'!C28)/('Calculos auxiliares'!$F$212)*'Calculos auxiliares'!$F$208</f>
        <v>141097.18062307383</v>
      </c>
      <c r="E18" s="514">
        <f>('E-Costos'!D10-'E-Costos'!D28)/('Calculos auxiliares'!$F$212)*'Calculos auxiliares'!$F$208</f>
        <v>141097.18062307383</v>
      </c>
      <c r="F18" s="514">
        <f>('E-Costos'!E10-'E-Costos'!E28)/('Calculos auxiliares'!$F$212)*'Calculos auxiliares'!$F$208</f>
        <v>117152.41657346996</v>
      </c>
      <c r="G18" s="514">
        <f>('E-Costos'!F10-'E-Costos'!F28)/('Calculos auxiliares'!$F$212)*'Calculos auxiliares'!$F$208</f>
        <v>117152.41657346996</v>
      </c>
      <c r="H18" s="40"/>
      <c r="I18" s="886">
        <f>+G13-F13</f>
        <v>-4.7446376741863787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516" t="s">
        <v>376</v>
      </c>
      <c r="B19" s="514"/>
      <c r="C19" s="514">
        <f>'E-Costos'!B123*C7</f>
        <v>3375938.6574122771</v>
      </c>
      <c r="D19" s="514">
        <f>'E-Costos'!C123*D7</f>
        <v>4212043.4363544062</v>
      </c>
      <c r="E19" s="514">
        <f>'E-Costos'!D123*E7</f>
        <v>4209639.7386530433</v>
      </c>
      <c r="F19" s="514">
        <f>'E-Costos'!E123*F7</f>
        <v>4221700.0276968777</v>
      </c>
      <c r="G19" s="514">
        <f>'E-Costos'!F123*G7</f>
        <v>4221888.6146722846</v>
      </c>
      <c r="H19" s="40"/>
      <c r="I19" s="886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516" t="s">
        <v>377</v>
      </c>
      <c r="B20" s="514"/>
      <c r="C20" s="514">
        <f>('E-Inv AF y Am'!D56-C17-C18)*30/360</f>
        <v>48937.299433359563</v>
      </c>
      <c r="D20" s="514">
        <f>('E-Inv AF y Am'!D56-D17-D18+C17+C18)*30/360</f>
        <v>378772.14901623799</v>
      </c>
      <c r="E20" s="514">
        <f>('E-Inv AF y Am'!D56-E17-E18+D17+D18)*30/360</f>
        <v>219815.70307358549</v>
      </c>
      <c r="F20" s="514">
        <f>('E-Inv AF y Am'!E56-F17-F18+E17+E18)*30/360</f>
        <v>188049.51796627673</v>
      </c>
      <c r="G20" s="514">
        <f>('E-Inv AF y Am'!E56-G17-G18+F17+F18)*30/360</f>
        <v>186026.31337198828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516"/>
      <c r="B21" s="514"/>
      <c r="C21" s="514"/>
      <c r="D21" s="514"/>
      <c r="E21" s="514"/>
      <c r="F21" s="514"/>
      <c r="G21" s="517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511" t="s">
        <v>378</v>
      </c>
      <c r="B22" s="518">
        <f t="shared" ref="B22:G22" si="3">B15-B16</f>
        <v>45900904.701132953</v>
      </c>
      <c r="C22" s="518">
        <f t="shared" si="3"/>
        <v>67846189.261158675</v>
      </c>
      <c r="D22" s="518">
        <f t="shared" si="3"/>
        <v>76669607.275672808</v>
      </c>
      <c r="E22" s="518">
        <f t="shared" si="3"/>
        <v>76830999.141793504</v>
      </c>
      <c r="F22" s="518">
        <f t="shared" si="3"/>
        <v>76882200.856390953</v>
      </c>
      <c r="G22" s="518">
        <f t="shared" si="3"/>
        <v>76884030.729372174</v>
      </c>
      <c r="H22" s="886"/>
      <c r="I22" s="886">
        <f>+G22-F22</f>
        <v>1829.8729812204838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516"/>
      <c r="B23" s="514"/>
      <c r="C23" s="514"/>
      <c r="D23" s="514"/>
      <c r="E23" s="514"/>
      <c r="F23" s="514"/>
      <c r="G23" s="517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511" t="s">
        <v>379</v>
      </c>
      <c r="B24" s="514">
        <f>B15</f>
        <v>45900904.701132953</v>
      </c>
      <c r="C24" s="514">
        <f t="shared" ref="C24:G24" si="4">C15-B15</f>
        <v>27420701.360554069</v>
      </c>
      <c r="D24" s="514">
        <f t="shared" si="4"/>
        <v>8081880.2917273045</v>
      </c>
      <c r="E24" s="514">
        <f t="shared" si="4"/>
        <v>31.722476691007614</v>
      </c>
      <c r="F24" s="514">
        <f t="shared" si="4"/>
        <v>7217.3634025156498</v>
      </c>
      <c r="G24" s="514">
        <f t="shared" si="4"/>
        <v>-4.744637668132782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511" t="s">
        <v>380</v>
      </c>
      <c r="B25" s="514">
        <f>B22</f>
        <v>45900904.701132953</v>
      </c>
      <c r="C25" s="514">
        <f t="shared" ref="C25:G25" si="5">C22-B22</f>
        <v>21945284.560025722</v>
      </c>
      <c r="D25" s="514">
        <f t="shared" si="5"/>
        <v>8823418.0145141333</v>
      </c>
      <c r="E25" s="514">
        <f t="shared" si="5"/>
        <v>161391.86612069607</v>
      </c>
      <c r="F25" s="514">
        <f t="shared" si="5"/>
        <v>51201.714597448707</v>
      </c>
      <c r="G25" s="514">
        <f t="shared" si="5"/>
        <v>1829.8729812204838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516"/>
      <c r="B26" s="514"/>
      <c r="C26" s="514"/>
      <c r="D26" s="514"/>
      <c r="E26" s="514"/>
      <c r="F26" s="514"/>
      <c r="G26" s="517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511" t="s">
        <v>381</v>
      </c>
      <c r="B27" s="514"/>
      <c r="C27" s="514"/>
      <c r="D27" s="514"/>
      <c r="E27" s="514"/>
      <c r="F27" s="514"/>
      <c r="G27" s="517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516" t="s">
        <v>382</v>
      </c>
      <c r="B28" s="514"/>
      <c r="C28" s="514"/>
      <c r="D28" s="514"/>
      <c r="E28" s="514"/>
      <c r="F28" s="514"/>
      <c r="G28" s="51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516" t="s">
        <v>383</v>
      </c>
      <c r="B29" s="514"/>
      <c r="C29" s="514"/>
      <c r="D29" s="514"/>
      <c r="E29" s="514"/>
      <c r="F29" s="514"/>
      <c r="G29" s="517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516" t="s">
        <v>384</v>
      </c>
      <c r="B30" s="514">
        <f t="shared" ref="B30:B33" si="6">B10*0.21</f>
        <v>6754174.3394999979</v>
      </c>
      <c r="C30" s="514">
        <f t="shared" ref="C30:G30" si="7">(C10*0.21)-(B10*0.21)</f>
        <v>-1672840.1295356611</v>
      </c>
      <c r="D30" s="514">
        <f t="shared" si="7"/>
        <v>53072.131786537357</v>
      </c>
      <c r="E30" s="514">
        <f t="shared" si="7"/>
        <v>0</v>
      </c>
      <c r="F30" s="514">
        <f t="shared" si="7"/>
        <v>0</v>
      </c>
      <c r="G30" s="514">
        <f t="shared" si="7"/>
        <v>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516" t="s">
        <v>387</v>
      </c>
      <c r="B31" s="514">
        <f t="shared" si="6"/>
        <v>1761347.647737921</v>
      </c>
      <c r="C31" s="514">
        <f t="shared" ref="C31:G31" si="8">(C11*0.21)-(B11*0.21)</f>
        <v>440336.9119344803</v>
      </c>
      <c r="D31" s="514">
        <f t="shared" si="8"/>
        <v>330116.91920393007</v>
      </c>
      <c r="E31" s="514">
        <f t="shared" si="8"/>
        <v>0</v>
      </c>
      <c r="F31" s="514">
        <f t="shared" si="8"/>
        <v>2266.5269929966889</v>
      </c>
      <c r="G31" s="514">
        <f t="shared" si="8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516" t="s">
        <v>389</v>
      </c>
      <c r="B32" s="514">
        <f t="shared" si="6"/>
        <v>0</v>
      </c>
      <c r="C32" s="514">
        <f t="shared" ref="C32:G32" si="9">(C12*0.21)-(B12*0.21)</f>
        <v>160711.25246384297</v>
      </c>
      <c r="D32" s="514">
        <f t="shared" si="9"/>
        <v>503.54884928301908</v>
      </c>
      <c r="E32" s="514">
        <f t="shared" si="9"/>
        <v>0</v>
      </c>
      <c r="F32" s="514">
        <f t="shared" si="9"/>
        <v>-75.314322521269787</v>
      </c>
      <c r="G32" s="514">
        <f t="shared" si="9"/>
        <v>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516" t="s">
        <v>390</v>
      </c>
      <c r="B33" s="514">
        <f t="shared" si="6"/>
        <v>0</v>
      </c>
      <c r="C33" s="514">
        <f t="shared" ref="C33:G33" si="10">(C13*0.21)-(B13*0.21)</f>
        <v>696784.75085369428</v>
      </c>
      <c r="D33" s="514">
        <f t="shared" si="10"/>
        <v>9061.0114229824394</v>
      </c>
      <c r="E33" s="514">
        <f t="shared" si="10"/>
        <v>6.6617201057961211</v>
      </c>
      <c r="F33" s="514">
        <f t="shared" si="10"/>
        <v>-675.56635594926775</v>
      </c>
      <c r="G33" s="514">
        <f t="shared" si="10"/>
        <v>-0.99637391150463372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516" t="s">
        <v>391</v>
      </c>
      <c r="B34" s="529">
        <f t="shared" ref="B34:G34" si="11">SUM(B30:B33)</f>
        <v>8515521.9872379191</v>
      </c>
      <c r="C34" s="529">
        <f t="shared" si="11"/>
        <v>-375007.21428364352</v>
      </c>
      <c r="D34" s="529">
        <f t="shared" si="11"/>
        <v>392753.61126273288</v>
      </c>
      <c r="E34" s="529">
        <f t="shared" si="11"/>
        <v>6.6617201057961211</v>
      </c>
      <c r="F34" s="529">
        <f t="shared" si="11"/>
        <v>1515.6463145261514</v>
      </c>
      <c r="G34" s="529">
        <f t="shared" si="11"/>
        <v>-0.99637391150463372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516"/>
      <c r="B35" s="530"/>
      <c r="C35" s="530"/>
      <c r="D35" s="530"/>
      <c r="E35" s="530"/>
      <c r="F35" s="530"/>
      <c r="G35" s="531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532" t="s">
        <v>392</v>
      </c>
      <c r="B36" s="533">
        <f t="shared" ref="B36:G36" si="12">B25+B34</f>
        <v>54416426.688370869</v>
      </c>
      <c r="C36" s="533">
        <f t="shared" si="12"/>
        <v>21570277.345742077</v>
      </c>
      <c r="D36" s="533">
        <f t="shared" si="12"/>
        <v>9216171.6257768665</v>
      </c>
      <c r="E36" s="533">
        <f t="shared" si="12"/>
        <v>161398.52784080186</v>
      </c>
      <c r="F36" s="533">
        <f t="shared" si="12"/>
        <v>52717.360911974858</v>
      </c>
      <c r="G36" s="533">
        <f t="shared" si="12"/>
        <v>1828.8766073089791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534" t="s">
        <v>395</v>
      </c>
      <c r="B39" s="471"/>
      <c r="C39" s="471"/>
      <c r="D39" s="471"/>
      <c r="E39" s="471"/>
      <c r="F39" s="471"/>
      <c r="G39" s="471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943" t="s">
        <v>397</v>
      </c>
      <c r="B40" s="907"/>
      <c r="C40" s="907"/>
      <c r="D40" s="907"/>
      <c r="E40" s="471"/>
      <c r="F40" s="471"/>
      <c r="G40" s="471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471"/>
      <c r="B41" s="471"/>
      <c r="C41" s="471"/>
      <c r="D41" s="471"/>
      <c r="E41" s="471"/>
      <c r="F41" s="471"/>
      <c r="G41" s="471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471"/>
      <c r="B42" s="537"/>
      <c r="C42" s="538" t="s">
        <v>72</v>
      </c>
      <c r="D42" s="538" t="s">
        <v>360</v>
      </c>
      <c r="E42" s="538" t="s">
        <v>361</v>
      </c>
      <c r="F42" s="538" t="s">
        <v>362</v>
      </c>
      <c r="G42" s="538" t="s">
        <v>363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471"/>
      <c r="B43" s="539" t="s">
        <v>175</v>
      </c>
      <c r="C43" s="540">
        <f>'E-Costos'!B25*0.21</f>
        <v>143526.20471437502</v>
      </c>
      <c r="D43" s="540">
        <f>'E-Costos'!C25*0.21</f>
        <v>143526.20471437502</v>
      </c>
      <c r="E43" s="540">
        <f>'E-Costos'!D25*0.21</f>
        <v>143526.20471437502</v>
      </c>
      <c r="F43" s="540">
        <f>'E-Costos'!E25*0.21</f>
        <v>143526.20471437502</v>
      </c>
      <c r="G43" s="540">
        <f>'E-Costos'!F25*0.21</f>
        <v>143526.20471437502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471"/>
      <c r="B44" s="539" t="s">
        <v>226</v>
      </c>
      <c r="C44" s="540">
        <f>'E-Costos'!B30*0.21</f>
        <v>3747.6648407588896</v>
      </c>
      <c r="D44" s="540">
        <f>'E-Costos'!C30*0.21</f>
        <v>4314.965850289319</v>
      </c>
      <c r="E44" s="540">
        <f>'E-Costos'!D30*0.21</f>
        <v>4314.965850289319</v>
      </c>
      <c r="F44" s="540">
        <f>'E-Costos'!E30*0.21</f>
        <v>4314.9811425759781</v>
      </c>
      <c r="G44" s="540">
        <f>'E-Costos'!F30*0.21</f>
        <v>4314.9811425759781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471"/>
      <c r="B45" s="539" t="s">
        <v>403</v>
      </c>
      <c r="C45" s="540">
        <f>'E-Costos'!B31*0.21</f>
        <v>205.73580113079601</v>
      </c>
      <c r="D45" s="540">
        <f>'E-Costos'!C31*0.21</f>
        <v>220.35268249991515</v>
      </c>
      <c r="E45" s="540">
        <f>'E-Costos'!D31*0.21</f>
        <v>220.35268249991515</v>
      </c>
      <c r="F45" s="540">
        <f>'E-Costos'!E31*0.21</f>
        <v>220.35268249991515</v>
      </c>
      <c r="G45" s="540">
        <f>'E-Costos'!F31*0.21</f>
        <v>220.35268249991515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471"/>
      <c r="B46" s="539" t="s">
        <v>393</v>
      </c>
      <c r="C46" s="540">
        <v>0</v>
      </c>
      <c r="D46" s="540">
        <v>0</v>
      </c>
      <c r="E46" s="540">
        <v>0</v>
      </c>
      <c r="F46" s="540">
        <v>0</v>
      </c>
      <c r="G46" s="540">
        <v>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471"/>
      <c r="B47" s="543" t="s">
        <v>192</v>
      </c>
      <c r="C47" s="544">
        <f t="shared" ref="C47:G47" si="13">SUM(C43:C46)</f>
        <v>147479.60535626471</v>
      </c>
      <c r="D47" s="544">
        <f t="shared" si="13"/>
        <v>148061.52324716427</v>
      </c>
      <c r="E47" s="544">
        <f t="shared" si="13"/>
        <v>148061.52324716427</v>
      </c>
      <c r="F47" s="544">
        <f t="shared" si="13"/>
        <v>148061.53853945091</v>
      </c>
      <c r="G47" s="544">
        <f t="shared" si="13"/>
        <v>148061.53853945091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471"/>
      <c r="B48" s="543" t="s">
        <v>406</v>
      </c>
      <c r="C48" s="544">
        <f>SUM(C43:C46)</f>
        <v>147479.60535626471</v>
      </c>
      <c r="D48" s="544">
        <f t="shared" ref="D48:G48" si="14">D47-C47</f>
        <v>581.91789089955273</v>
      </c>
      <c r="E48" s="544">
        <f t="shared" si="14"/>
        <v>0</v>
      </c>
      <c r="F48" s="544">
        <f t="shared" si="14"/>
        <v>1.5292286640033126E-2</v>
      </c>
      <c r="G48" s="544">
        <f t="shared" si="14"/>
        <v>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471"/>
      <c r="B49" s="471"/>
      <c r="C49" s="471"/>
      <c r="D49" s="471"/>
      <c r="E49" s="471"/>
      <c r="F49" s="471"/>
      <c r="G49" s="471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471"/>
      <c r="B50" s="471"/>
      <c r="C50" s="471"/>
      <c r="D50" s="471"/>
      <c r="E50" s="471"/>
      <c r="F50" s="471"/>
      <c r="G50" s="471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534" t="s">
        <v>408</v>
      </c>
      <c r="B51" s="539" t="s">
        <v>290</v>
      </c>
      <c r="C51" s="537"/>
      <c r="D51" s="471"/>
      <c r="E51" s="471"/>
      <c r="F51" s="471"/>
      <c r="G51" s="471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471"/>
      <c r="B52" s="539" t="s">
        <v>291</v>
      </c>
      <c r="C52" s="545">
        <f>'Calculos auxiliares'!F206</f>
        <v>300930</v>
      </c>
      <c r="D52" s="471"/>
      <c r="E52" s="471"/>
      <c r="F52" s="471"/>
      <c r="G52" s="471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471"/>
      <c r="B53" s="471"/>
      <c r="C53" s="471"/>
      <c r="D53" s="471"/>
      <c r="E53" s="471"/>
      <c r="F53" s="471"/>
      <c r="G53" s="471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471"/>
      <c r="B54" s="471"/>
      <c r="C54" s="471"/>
      <c r="D54" s="471"/>
      <c r="E54" s="471"/>
      <c r="F54" s="471"/>
      <c r="G54" s="471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471"/>
      <c r="B55" s="537"/>
      <c r="C55" s="538" t="s">
        <v>72</v>
      </c>
      <c r="D55" s="538" t="s">
        <v>360</v>
      </c>
      <c r="E55" s="538" t="s">
        <v>361</v>
      </c>
      <c r="F55" s="538" t="s">
        <v>362</v>
      </c>
      <c r="G55" s="538" t="s">
        <v>363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471"/>
      <c r="B56" s="539" t="s">
        <v>175</v>
      </c>
      <c r="C56" s="540">
        <f>(('E-Costos'!B7-'E-Costos'!B25-'E-Costos'!G25)*0.21/'Calculos auxiliares'!F211)*C52</f>
        <v>6471470.3337389696</v>
      </c>
      <c r="D56" s="540">
        <f>(('E-Costos'!C7-'E-Costos'!C25)*0.21/'Calculos auxiliares'!$F$213)*$C$52</f>
        <v>6552882.2816528305</v>
      </c>
      <c r="E56" s="540">
        <f>(('E-Costos'!D7-'E-Costos'!D25)*0.21/'Calculos auxiliares'!$F$213)*$C$52</f>
        <v>6552882.2816528305</v>
      </c>
      <c r="F56" s="540">
        <f>(('E-Costos'!E7-'E-Costos'!E25)*0.21/'Calculos auxiliares'!$F$213)*$C$52</f>
        <v>6552882.2816528305</v>
      </c>
      <c r="G56" s="540">
        <f>(('E-Costos'!F7-'E-Costos'!F25)*0.21/'Calculos auxiliares'!$F$213)*$C$52</f>
        <v>6552882.2816528305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471"/>
      <c r="B57" s="539" t="s">
        <v>226</v>
      </c>
      <c r="C57" s="540">
        <f>(('E-Costos'!B12-'E-Costos'!B30-'E-Costos'!G31)*0.21/'Calculos auxiliares'!F211)*C52</f>
        <v>327200.9860594183</v>
      </c>
      <c r="D57" s="540">
        <f>(('E-Costos'!C12-'E-Costos'!C30*0.21)/'Calculos auxiliares'!$F$213)*$C$52</f>
        <v>1577962.0369778441</v>
      </c>
      <c r="E57" s="540">
        <f>(('E-Costos'!D12-'E-Costos'!D30*0.21)/'Calculos auxiliares'!$F$213)*$C$52</f>
        <v>1577962.0369778441</v>
      </c>
      <c r="F57" s="540">
        <f>(('E-Costos'!E12-'E-Costos'!E30*0.21)/'Calculos auxiliares'!$F$213)*$C$52</f>
        <v>1577967.629292741</v>
      </c>
      <c r="G57" s="540">
        <f>(('E-Costos'!F12-'E-Costos'!F30*0.21)/'Calculos auxiliares'!$F$213)*$C$52</f>
        <v>1577967.629292741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471"/>
      <c r="B58" s="539" t="s">
        <v>403</v>
      </c>
      <c r="C58" s="540">
        <f>(('E-Costos'!B13-'E-Costos'!B31-'E-Costos'!G32*0.21)/'Calculos auxiliares'!F211)*C52</f>
        <v>69884.788156112394</v>
      </c>
      <c r="D58" s="540">
        <f>(('E-Costos'!C13-'E-Costos'!C31*0.21)/'Calculos auxiliares'!$F$213)*$C$52</f>
        <v>60626.300967751224</v>
      </c>
      <c r="E58" s="540">
        <f>(('E-Costos'!D13-'E-Costos'!D31*0.21)/'Calculos auxiliares'!$F$213)*$C$52</f>
        <v>60626.300967751224</v>
      </c>
      <c r="F58" s="540">
        <f>(('E-Costos'!E13-'E-Costos'!E31*0.21)/'Calculos auxiliares'!$F$213)*$C$52</f>
        <v>60626.300967751224</v>
      </c>
      <c r="G58" s="540">
        <f>(('E-Costos'!F13-'E-Costos'!F31*0.21)/'Calculos auxiliares'!$F$213)*$C$52</f>
        <v>60626.300967751224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471"/>
      <c r="B59" s="539" t="s">
        <v>393</v>
      </c>
      <c r="C59" s="540">
        <v>0</v>
      </c>
      <c r="D59" s="540">
        <v>0</v>
      </c>
      <c r="E59" s="540">
        <v>0</v>
      </c>
      <c r="F59" s="540">
        <v>0</v>
      </c>
      <c r="G59" s="540">
        <v>0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471"/>
      <c r="B60" s="552" t="s">
        <v>192</v>
      </c>
      <c r="C60" s="553">
        <f t="shared" ref="C60:G60" si="15">SUM(C56:C59)</f>
        <v>6868556.1079545002</v>
      </c>
      <c r="D60" s="553">
        <f t="shared" si="15"/>
        <v>8191470.6195984259</v>
      </c>
      <c r="E60" s="553">
        <f t="shared" si="15"/>
        <v>8191470.6195984259</v>
      </c>
      <c r="F60" s="553">
        <f t="shared" si="15"/>
        <v>8191476.211913323</v>
      </c>
      <c r="G60" s="553">
        <f t="shared" si="15"/>
        <v>8191476.211913323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471"/>
      <c r="B61" s="552" t="s">
        <v>406</v>
      </c>
      <c r="C61" s="553">
        <f>SUM(C56:C59)</f>
        <v>6868556.1079545002</v>
      </c>
      <c r="D61" s="553">
        <f t="shared" ref="D61:G61" si="16">D60-C60</f>
        <v>1322914.5116439257</v>
      </c>
      <c r="E61" s="553">
        <f t="shared" si="16"/>
        <v>0</v>
      </c>
      <c r="F61" s="553">
        <f t="shared" si="16"/>
        <v>5.5923148971050978</v>
      </c>
      <c r="G61" s="553">
        <f t="shared" si="16"/>
        <v>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mergeCells count="1">
    <mergeCell ref="A40:D40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C26" sqref="C26"/>
    </sheetView>
  </sheetViews>
  <sheetFormatPr baseColWidth="10" defaultColWidth="14.42578125" defaultRowHeight="15" customHeight="1"/>
  <cols>
    <col min="1" max="1" width="28" customWidth="1"/>
    <col min="2" max="2" width="23.42578125" customWidth="1"/>
    <col min="3" max="3" width="20.140625" customWidth="1"/>
    <col min="4" max="4" width="18.28515625" customWidth="1"/>
    <col min="5" max="5" width="19.7109375" customWidth="1"/>
    <col min="6" max="6" width="23.42578125" customWidth="1"/>
    <col min="7" max="7" width="18.5703125" customWidth="1"/>
    <col min="8" max="26" width="10" customWidth="1"/>
  </cols>
  <sheetData>
    <row r="1" spans="1:26" ht="12.75" customHeight="1">
      <c r="A1" s="2" t="s">
        <v>0</v>
      </c>
      <c r="E1" s="40"/>
      <c r="F1" s="40"/>
      <c r="G1" s="3">
        <f>InfoInicial!E1</f>
        <v>4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519" t="s">
        <v>385</v>
      </c>
      <c r="B2" s="508"/>
      <c r="C2" s="508"/>
      <c r="D2" s="508"/>
      <c r="E2" s="508"/>
      <c r="F2" s="508"/>
      <c r="G2" s="50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520"/>
      <c r="B3" s="521" t="s">
        <v>386</v>
      </c>
      <c r="C3" s="521"/>
      <c r="D3" s="521"/>
      <c r="E3" s="521"/>
      <c r="F3" s="521"/>
      <c r="G3" s="522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 customHeight="1">
      <c r="A4" s="523" t="s">
        <v>359</v>
      </c>
      <c r="B4" s="524" t="s">
        <v>71</v>
      </c>
      <c r="C4" s="44" t="s">
        <v>72</v>
      </c>
      <c r="D4" s="44" t="s">
        <v>360</v>
      </c>
      <c r="E4" s="44" t="s">
        <v>361</v>
      </c>
      <c r="F4" s="44" t="s">
        <v>362</v>
      </c>
      <c r="G4" s="45" t="s">
        <v>363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525" t="s">
        <v>388</v>
      </c>
      <c r="B5" s="526"/>
      <c r="C5" s="512"/>
      <c r="D5" s="512"/>
      <c r="E5" s="512"/>
      <c r="F5" s="512"/>
      <c r="G5" s="513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527" t="s">
        <v>175</v>
      </c>
      <c r="B6" s="528"/>
      <c r="C6" s="514">
        <f>'E-Costos'!B7*0.21</f>
        <v>42739908.657280527</v>
      </c>
      <c r="D6" s="514">
        <f>'E-Costos'!C7*0.21</f>
        <v>49236249.110327989</v>
      </c>
      <c r="E6" s="514">
        <f>'E-Costos'!D7*0.21</f>
        <v>49236249.110327989</v>
      </c>
      <c r="F6" s="514">
        <f>'E-Costos'!E7*0.21</f>
        <v>49236249.110327989</v>
      </c>
      <c r="G6" s="514">
        <f>'E-Costos'!F7*0.21</f>
        <v>49236249.110327989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527" t="s">
        <v>226</v>
      </c>
      <c r="B7" s="528"/>
      <c r="C7" s="514">
        <f>'E-Costos'!B12*0.21</f>
        <v>2156961.8855725895</v>
      </c>
      <c r="D7" s="514">
        <f>'E-Costos'!C12*0.21</f>
        <v>2483470.9804883995</v>
      </c>
      <c r="E7" s="514">
        <f>'E-Costos'!D12*0.21</f>
        <v>2483470.9804883995</v>
      </c>
      <c r="F7" s="514">
        <f>'E-Costos'!E12*0.21</f>
        <v>2483479.7819369994</v>
      </c>
      <c r="G7" s="514">
        <f>'E-Costos'!F12*0.21</f>
        <v>2483479.7819369994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527" t="s">
        <v>245</v>
      </c>
      <c r="B8" s="528"/>
      <c r="C8" s="514">
        <f>'E-Costos'!B13*0.21</f>
        <v>95259.087373232396</v>
      </c>
      <c r="D8" s="514">
        <f>'E-Costos'!C13*0.21</f>
        <v>95427.98762354489</v>
      </c>
      <c r="E8" s="514">
        <f>'E-Costos'!D13*0.21</f>
        <v>95427.98762354489</v>
      </c>
      <c r="F8" s="514">
        <f>'E-Costos'!E13*0.21</f>
        <v>95427.98762354489</v>
      </c>
      <c r="G8" s="514">
        <f>'E-Costos'!F13*0.21</f>
        <v>95427.98762354489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527" t="s">
        <v>393</v>
      </c>
      <c r="B9" s="528"/>
      <c r="C9" s="515">
        <v>0</v>
      </c>
      <c r="D9" s="515">
        <v>0</v>
      </c>
      <c r="E9" s="515">
        <v>0</v>
      </c>
      <c r="F9" s="515">
        <v>0</v>
      </c>
      <c r="G9" s="515">
        <v>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.75" customHeight="1">
      <c r="A10" s="527" t="s">
        <v>394</v>
      </c>
      <c r="B10" s="528"/>
      <c r="C10" s="515">
        <v>0</v>
      </c>
      <c r="D10" s="515">
        <v>0</v>
      </c>
      <c r="E10" s="515">
        <v>0</v>
      </c>
      <c r="F10" s="515">
        <v>0</v>
      </c>
      <c r="G10" s="515">
        <v>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527" t="s">
        <v>396</v>
      </c>
      <c r="B11" s="528"/>
      <c r="C11" s="515">
        <v>0</v>
      </c>
      <c r="D11" s="515">
        <v>0</v>
      </c>
      <c r="E11" s="515">
        <v>0</v>
      </c>
      <c r="F11" s="515">
        <v>0</v>
      </c>
      <c r="G11" s="515">
        <v>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535" t="s">
        <v>157</v>
      </c>
      <c r="B12" s="536"/>
      <c r="C12" s="518">
        <f t="shared" ref="C12:G12" si="0">SUM(C6:C11)</f>
        <v>44992129.630226351</v>
      </c>
      <c r="D12" s="518">
        <f t="shared" si="0"/>
        <v>51815148.078439929</v>
      </c>
      <c r="E12" s="518">
        <f t="shared" si="0"/>
        <v>51815148.078439929</v>
      </c>
      <c r="F12" s="518">
        <f t="shared" si="0"/>
        <v>51815156.879888535</v>
      </c>
      <c r="G12" s="518">
        <f t="shared" si="0"/>
        <v>51815156.879888535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527" t="s">
        <v>398</v>
      </c>
      <c r="B13" s="528"/>
      <c r="C13" s="514">
        <f>('E-Costos'!G36-'E-Costos'!G26)*0.21</f>
        <v>903981.99887509819</v>
      </c>
      <c r="D13" s="514"/>
      <c r="E13" s="514"/>
      <c r="F13" s="514"/>
      <c r="G13" s="517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527" t="s">
        <v>399</v>
      </c>
      <c r="B14" s="528"/>
      <c r="C14" s="514"/>
      <c r="D14" s="514"/>
      <c r="E14" s="514"/>
      <c r="F14" s="514"/>
      <c r="G14" s="517"/>
      <c r="H14" s="40"/>
      <c r="I14" s="478"/>
      <c r="J14" s="478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527" t="s">
        <v>400</v>
      </c>
      <c r="B15" s="528"/>
      <c r="C15" s="541">
        <f>'E-InvAT'!C32</f>
        <v>160711.25246384297</v>
      </c>
      <c r="D15" s="541">
        <f>'E-InvAT'!D32</f>
        <v>503.54884928301908</v>
      </c>
      <c r="E15" s="541">
        <f>'E-InvAT'!E32</f>
        <v>0</v>
      </c>
      <c r="F15" s="541">
        <f>'E-InvAT'!F32</f>
        <v>-75.314322521269787</v>
      </c>
      <c r="G15" s="541">
        <f>'E-InvAT'!G32</f>
        <v>0</v>
      </c>
      <c r="H15" s="40"/>
      <c r="I15" s="542"/>
      <c r="J15" s="478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527" t="s">
        <v>401</v>
      </c>
      <c r="B16" s="528"/>
      <c r="C16" s="541">
        <f>'E-InvAT'!C33</f>
        <v>696784.75085369428</v>
      </c>
      <c r="D16" s="541">
        <f>'E-InvAT'!D33</f>
        <v>9061.0114229824394</v>
      </c>
      <c r="E16" s="541">
        <f>'E-InvAT'!E33</f>
        <v>6.6617201057961211</v>
      </c>
      <c r="F16" s="541">
        <f>'E-InvAT'!F33</f>
        <v>-675.56635594926775</v>
      </c>
      <c r="G16" s="541">
        <f>'E-InvAT'!G33</f>
        <v>-0.99637391150463372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535" t="s">
        <v>402</v>
      </c>
      <c r="B17" s="528"/>
      <c r="C17" s="514">
        <f t="shared" ref="C17:G17" si="1">C12-SUM(C13:C16)</f>
        <v>43230651.628033713</v>
      </c>
      <c r="D17" s="514">
        <f t="shared" si="1"/>
        <v>51805583.51816766</v>
      </c>
      <c r="E17" s="514">
        <f t="shared" si="1"/>
        <v>51815141.416719824</v>
      </c>
      <c r="F17" s="514">
        <f t="shared" si="1"/>
        <v>51815907.760567002</v>
      </c>
      <c r="G17" s="514">
        <f t="shared" si="1"/>
        <v>51815157.876262449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535" t="s">
        <v>404</v>
      </c>
      <c r="B18" s="528"/>
      <c r="C18" s="514">
        <f>SUM('E-Costos'!B54:B57)*0.21</f>
        <v>7701818.2592417132</v>
      </c>
      <c r="D18" s="514">
        <f>SUM('E-Costos'!C54:C57)*0.21</f>
        <v>7704162.4018300939</v>
      </c>
      <c r="E18" s="514">
        <f>SUM('E-Costos'!D54:D57)*0.21</f>
        <v>7704162.4018300939</v>
      </c>
      <c r="F18" s="514">
        <f>SUM('E-Costos'!E54:E57)*0.21</f>
        <v>7705465.7112801168</v>
      </c>
      <c r="G18" s="514">
        <f>SUM('E-Costos'!F54:F57)*0.21</f>
        <v>7705465.7112801168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535" t="s">
        <v>405</v>
      </c>
      <c r="B19" s="528"/>
      <c r="C19" s="514">
        <f>SUM('E-Costos'!B71:B74)*0.21</f>
        <v>34913.502231331171</v>
      </c>
      <c r="D19" s="514">
        <f>SUM('E-Costos'!C71:C74)*0.21</f>
        <v>36346.084181382103</v>
      </c>
      <c r="E19" s="514">
        <f>SUM('E-Costos'!D71:D74)*0.21</f>
        <v>36346.084181382103</v>
      </c>
      <c r="F19" s="514">
        <f>SUM('E-Costos'!E71:E74)*0.21</f>
        <v>37300.500275755621</v>
      </c>
      <c r="G19" s="514">
        <f>SUM('E-Costos'!F71:F74)*0.21</f>
        <v>37300.500275755621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535"/>
      <c r="B20" s="528"/>
      <c r="C20" s="514"/>
      <c r="D20" s="514"/>
      <c r="E20" s="514"/>
      <c r="F20" s="514"/>
      <c r="G20" s="517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527" t="s">
        <v>407</v>
      </c>
      <c r="B21" s="528"/>
      <c r="C21" s="514">
        <f t="shared" ref="C21:G21" si="2">SUM(C17:C19)</f>
        <v>50967383.389506757</v>
      </c>
      <c r="D21" s="514">
        <f t="shared" si="2"/>
        <v>59546092.004179135</v>
      </c>
      <c r="E21" s="514">
        <f t="shared" si="2"/>
        <v>59555649.902731299</v>
      </c>
      <c r="F21" s="514">
        <f t="shared" si="2"/>
        <v>59558673.97212287</v>
      </c>
      <c r="G21" s="514">
        <f t="shared" si="2"/>
        <v>59557924.087818317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527" t="s">
        <v>409</v>
      </c>
      <c r="B22" s="528"/>
      <c r="C22" s="514">
        <f>'E-Costos'!B88*0.21</f>
        <v>70229250</v>
      </c>
      <c r="D22" s="514">
        <f>'E-Costos'!C88*0.21</f>
        <v>82852875</v>
      </c>
      <c r="E22" s="514">
        <f>'E-Costos'!D88*0.21</f>
        <v>82852875</v>
      </c>
      <c r="F22" s="514">
        <f>'E-Costos'!E88*0.21</f>
        <v>82852875</v>
      </c>
      <c r="G22" s="514">
        <f>'E-Costos'!F88*0.21</f>
        <v>82852875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535" t="s">
        <v>410</v>
      </c>
      <c r="B23" s="528"/>
      <c r="C23" s="514">
        <f t="shared" ref="C23:G23" si="3">IF(C21&lt;0,C22+C21,C22-C21)</f>
        <v>19261866.610493243</v>
      </c>
      <c r="D23" s="514">
        <f t="shared" si="3"/>
        <v>23306782.995820865</v>
      </c>
      <c r="E23" s="514">
        <f t="shared" si="3"/>
        <v>23297225.097268701</v>
      </c>
      <c r="F23" s="514">
        <f t="shared" si="3"/>
        <v>23294201.02787713</v>
      </c>
      <c r="G23" s="514">
        <f t="shared" si="3"/>
        <v>23294950.912181683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527"/>
      <c r="B24" s="528"/>
      <c r="C24" s="514"/>
      <c r="D24" s="514"/>
      <c r="E24" s="514"/>
      <c r="F24" s="514"/>
      <c r="G24" s="517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546" t="s">
        <v>411</v>
      </c>
      <c r="B25" s="547">
        <v>0</v>
      </c>
      <c r="C25" s="514">
        <f t="shared" ref="C25:G25" si="4">B27</f>
        <v>12211811.407033801</v>
      </c>
      <c r="D25" s="514">
        <f t="shared" si="4"/>
        <v>0</v>
      </c>
      <c r="E25" s="514">
        <f t="shared" si="4"/>
        <v>0</v>
      </c>
      <c r="F25" s="514">
        <f t="shared" si="4"/>
        <v>0</v>
      </c>
      <c r="G25" s="514">
        <f t="shared" si="4"/>
        <v>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546" t="s">
        <v>412</v>
      </c>
      <c r="B26" s="528">
        <f>'E-Cal Inv.'!B23+'E-Cal Inv.'!C23</f>
        <v>12211811.407033801</v>
      </c>
      <c r="C26" s="514">
        <f>'E-Cal Inv.'!D23</f>
        <v>542244.14212710282</v>
      </c>
      <c r="D26" s="514">
        <f>'E-Cal Inv.'!E23</f>
        <v>392753.61126273288</v>
      </c>
      <c r="E26" s="514">
        <f>'E-Cal Inv.'!F23</f>
        <v>6.6617201057961211</v>
      </c>
      <c r="F26" s="514">
        <f>'E-Cal Inv.'!G23</f>
        <v>1515.6463145261514</v>
      </c>
      <c r="G26" s="514">
        <f>'E-Cal Inv.'!H23</f>
        <v>-0.99637391150463372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535" t="s">
        <v>413</v>
      </c>
      <c r="B27" s="528">
        <f>B26-B23</f>
        <v>12211811.407033801</v>
      </c>
      <c r="C27" s="514">
        <f t="shared" ref="C27:G27" si="5">IF(C25+C26-C23&gt;0,C25+C26-C23,0)</f>
        <v>0</v>
      </c>
      <c r="D27" s="514">
        <f t="shared" si="5"/>
        <v>0</v>
      </c>
      <c r="E27" s="514">
        <f t="shared" si="5"/>
        <v>0</v>
      </c>
      <c r="F27" s="514">
        <f t="shared" si="5"/>
        <v>0</v>
      </c>
      <c r="G27" s="514">
        <f t="shared" si="5"/>
        <v>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548" t="s">
        <v>414</v>
      </c>
      <c r="B28" s="528"/>
      <c r="C28" s="514">
        <f t="shared" ref="C28:G28" si="6">IF(C25+C26&gt;C23,C23,IF(C23-C25-C26&gt;0,C25+C26,0))</f>
        <v>12754055.549160903</v>
      </c>
      <c r="D28" s="514">
        <f t="shared" si="6"/>
        <v>392753.61126273288</v>
      </c>
      <c r="E28" s="514">
        <f t="shared" si="6"/>
        <v>6.6617201057961211</v>
      </c>
      <c r="F28" s="514">
        <f t="shared" si="6"/>
        <v>1515.6463145261514</v>
      </c>
      <c r="G28" s="514">
        <f t="shared" si="6"/>
        <v>-0.99637391150463372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527"/>
      <c r="B29" s="528"/>
      <c r="C29" s="514"/>
      <c r="D29" s="514"/>
      <c r="E29" s="514"/>
      <c r="F29" s="514"/>
      <c r="G29" s="517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549" t="s">
        <v>415</v>
      </c>
      <c r="B30" s="550">
        <v>0</v>
      </c>
      <c r="C30" s="551">
        <f t="shared" ref="C30:G30" si="7">IF(C23-C27-C28&gt;0,C23-C27-C28,0)</f>
        <v>6507811.0613323394</v>
      </c>
      <c r="D30" s="551">
        <f t="shared" si="7"/>
        <v>22914029.384558134</v>
      </c>
      <c r="E30" s="551">
        <f t="shared" si="7"/>
        <v>23297218.435548596</v>
      </c>
      <c r="F30" s="551">
        <f t="shared" si="7"/>
        <v>23292685.381562602</v>
      </c>
      <c r="G30" s="551">
        <f t="shared" si="7"/>
        <v>23294951.908555593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H12" sqref="H12"/>
    </sheetView>
  </sheetViews>
  <sheetFormatPr baseColWidth="10" defaultColWidth="14.42578125" defaultRowHeight="15" customHeight="1"/>
  <cols>
    <col min="1" max="1" width="28" customWidth="1"/>
    <col min="2" max="2" width="13.85546875" customWidth="1"/>
    <col min="3" max="3" width="19.7109375" customWidth="1"/>
    <col min="4" max="4" width="13.85546875" customWidth="1"/>
    <col min="5" max="5" width="18.7109375" customWidth="1"/>
    <col min="6" max="8" width="13.85546875" customWidth="1"/>
    <col min="9" max="9" width="16" bestFit="1" customWidth="1"/>
    <col min="10" max="26" width="10" customWidth="1"/>
  </cols>
  <sheetData>
    <row r="1" spans="1:26" ht="12.75" customHeight="1">
      <c r="A1" s="2" t="s">
        <v>0</v>
      </c>
      <c r="E1" s="40"/>
      <c r="F1" s="40"/>
      <c r="G1" s="3">
        <f>InfoInicial!E1</f>
        <v>4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507" t="s">
        <v>416</v>
      </c>
      <c r="B3" s="508"/>
      <c r="C3" s="508"/>
      <c r="D3" s="508"/>
      <c r="E3" s="508"/>
      <c r="F3" s="508"/>
      <c r="G3" s="508"/>
      <c r="H3" s="508"/>
      <c r="I3" s="554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5.5" customHeight="1">
      <c r="A4" s="510" t="s">
        <v>359</v>
      </c>
      <c r="B4" s="524" t="s">
        <v>417</v>
      </c>
      <c r="C4" s="524" t="s">
        <v>418</v>
      </c>
      <c r="D4" s="44" t="s">
        <v>72</v>
      </c>
      <c r="E4" s="44" t="s">
        <v>360</v>
      </c>
      <c r="F4" s="44" t="s">
        <v>361</v>
      </c>
      <c r="G4" s="44" t="s">
        <v>362</v>
      </c>
      <c r="H4" s="555" t="s">
        <v>363</v>
      </c>
      <c r="I4" s="556" t="s">
        <v>211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511" t="s">
        <v>419</v>
      </c>
      <c r="B5" s="512"/>
      <c r="C5" s="512"/>
      <c r="D5" s="512"/>
      <c r="E5" s="512"/>
      <c r="F5" s="512"/>
      <c r="G5" s="512"/>
      <c r="H5" s="557"/>
      <c r="I5" s="558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516" t="s">
        <v>420</v>
      </c>
      <c r="B6" s="514"/>
      <c r="C6" s="514">
        <f>'E-Inv AF y Am'!B20</f>
        <v>17120278.419357501</v>
      </c>
      <c r="D6" s="514"/>
      <c r="E6" s="514"/>
      <c r="F6" s="514"/>
      <c r="G6" s="514"/>
      <c r="H6" s="559"/>
      <c r="I6" s="558">
        <f t="shared" ref="I6:I8" si="0">SUM(B6:H6)</f>
        <v>17120278.419357501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560" t="s">
        <v>421</v>
      </c>
      <c r="B7" s="561">
        <f>'E-Inv AF y Am'!B23</f>
        <v>60000</v>
      </c>
      <c r="C7" s="561">
        <f>'E-Inv AF y Am'!B31-'E-Inv AF y Am'!B23</f>
        <v>421099.77014669514</v>
      </c>
      <c r="D7" s="561">
        <f>'E-Inv AF y Am'!C31</f>
        <v>4367863.6019559354</v>
      </c>
      <c r="E7" s="561"/>
      <c r="F7" s="561"/>
      <c r="G7" s="561"/>
      <c r="H7" s="562"/>
      <c r="I7" s="558">
        <f t="shared" si="0"/>
        <v>4848963.3721026303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60" t="s">
        <v>422</v>
      </c>
      <c r="B8" s="563">
        <f>B7</f>
        <v>60000</v>
      </c>
      <c r="C8" s="563">
        <f>C6+C7</f>
        <v>17541378.189504195</v>
      </c>
      <c r="D8" s="563">
        <f>D7</f>
        <v>4367863.6019559354</v>
      </c>
      <c r="E8" s="563"/>
      <c r="F8" s="563"/>
      <c r="G8" s="563"/>
      <c r="H8" s="563"/>
      <c r="I8" s="563">
        <f t="shared" si="0"/>
        <v>21969241.79146013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564"/>
      <c r="B9" s="512"/>
      <c r="C9" s="512"/>
      <c r="D9" s="512"/>
      <c r="E9" s="512"/>
      <c r="F9" s="512"/>
      <c r="G9" s="512"/>
      <c r="H9" s="557"/>
      <c r="I9" s="558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.75" customHeight="1">
      <c r="A10" s="511" t="s">
        <v>423</v>
      </c>
      <c r="B10" s="514"/>
      <c r="C10" s="514"/>
      <c r="D10" s="514"/>
      <c r="E10" s="514"/>
      <c r="F10" s="514"/>
      <c r="G10" s="514"/>
      <c r="H10" s="559"/>
      <c r="I10" s="558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516" t="s">
        <v>424</v>
      </c>
      <c r="B11" s="514"/>
      <c r="C11" s="514">
        <f>'E-InvAT'!B6</f>
        <v>5350800</v>
      </c>
      <c r="D11" s="514">
        <f>'E-InvAT'!C6-'E-InvAT'!B6</f>
        <v>1337700</v>
      </c>
      <c r="E11" s="514">
        <f>'E-InvAT'!D6-'E-InvAT'!C6</f>
        <v>1202250</v>
      </c>
      <c r="F11" s="514">
        <f>'E-InvAT'!D6-'E-InvAT'!E6</f>
        <v>0</v>
      </c>
      <c r="G11" s="514">
        <f>'E-InvAT'!E6-'E-InvAT'!F6</f>
        <v>0</v>
      </c>
      <c r="H11" s="559">
        <f>'E-InvAT'!F6-'E-InvAT'!G6</f>
        <v>0</v>
      </c>
      <c r="I11" s="558">
        <f t="shared" ref="I11:I12" si="1">SUM(B11:H11)</f>
        <v>7890750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516" t="s">
        <v>425</v>
      </c>
      <c r="B12" s="514"/>
      <c r="C12" s="514"/>
      <c r="D12" s="514">
        <f>'E-InvAT'!C7-SUM('E-InvAT'!C19:C20)-('E-InvAT'!B7-SUM('E-InvAT'!B19:B20))</f>
        <v>24443874.043154363</v>
      </c>
      <c r="E12" s="514">
        <f>'E-InvAT'!D7-SUM('E-InvAT'!D19:D20)-('E-InvAT'!C7-SUM('E-InvAT'!C19:C20))</f>
        <v>3843435.3714749925</v>
      </c>
      <c r="F12" s="514">
        <f>'E-InvAT'!E7-SUM('E-InvAT'!E19:E20)-('E-InvAT'!D7-SUM('E-InvAT'!D19:D20))</f>
        <v>161360.14364401624</v>
      </c>
      <c r="G12" s="514">
        <f>'E-InvAT'!F7-SUM('E-InvAT'!F19:F20)-('E-InvAT'!E7-SUM('E-InvAT'!E19:E20))</f>
        <v>19705.896063473076</v>
      </c>
      <c r="H12" s="559">
        <f>('E-InvAT'!G7-SUM('E-InvAT'!G19:G20))-('E-InvAT'!F7-SUM('E-InvAT'!F19:F20))</f>
        <v>1834.617618881166</v>
      </c>
      <c r="I12" s="558">
        <f t="shared" si="1"/>
        <v>28470210.071955726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516" t="s">
        <v>426</v>
      </c>
      <c r="B13" s="514"/>
      <c r="C13" s="514"/>
      <c r="D13" s="514"/>
      <c r="E13" s="514"/>
      <c r="F13" s="514"/>
      <c r="G13" s="514"/>
      <c r="H13" s="559"/>
      <c r="I13" s="558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516" t="s">
        <v>427</v>
      </c>
      <c r="B14" s="514"/>
      <c r="C14" s="514">
        <f>'E-InvAT'!B10</f>
        <v>32162734.949999992</v>
      </c>
      <c r="D14" s="515">
        <f>'E-InvAT'!C10-'E-InvAT'!B10</f>
        <v>-7965905.3787412457</v>
      </c>
      <c r="E14" s="515">
        <f>'E-InvAT'!D10-'E-InvAT'!C10</f>
        <v>252724.43707875162</v>
      </c>
      <c r="F14" s="515">
        <f>'E-InvAT'!E10-'E-InvAT'!D10</f>
        <v>0</v>
      </c>
      <c r="G14" s="515">
        <f>'E-InvAT'!F10-'E-InvAT'!E10</f>
        <v>0</v>
      </c>
      <c r="H14" s="565">
        <f>'E-InvAT'!G10-'E-InvAT'!F10</f>
        <v>0</v>
      </c>
      <c r="I14" s="558">
        <f t="shared" ref="I14:I18" si="2">SUM(B14:H14)</f>
        <v>24449554.008337498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516" t="s">
        <v>428</v>
      </c>
      <c r="B15" s="514"/>
      <c r="C15" s="514">
        <f>'E-InvAT'!B11</f>
        <v>8387369.7511329576</v>
      </c>
      <c r="D15" s="514">
        <f>'E-InvAT'!C11-'E-InvAT'!B11</f>
        <v>2096842.4377832394</v>
      </c>
      <c r="E15" s="514">
        <f>'E-InvAT'!D11-'E-InvAT'!C11</f>
        <v>1571985.3295425251</v>
      </c>
      <c r="F15" s="514">
        <f>'E-InvAT'!E11-'E-InvAT'!D11</f>
        <v>0</v>
      </c>
      <c r="G15" s="514">
        <f>'E-InvAT'!F11-'E-InvAT'!E11</f>
        <v>10792.985680935904</v>
      </c>
      <c r="H15" s="559">
        <f>'E-InvAT'!G11-'E-InvAT'!F11</f>
        <v>0</v>
      </c>
      <c r="I15" s="558">
        <f t="shared" si="2"/>
        <v>12066990.504139658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516" t="s">
        <v>429</v>
      </c>
      <c r="B16" s="514"/>
      <c r="C16" s="514"/>
      <c r="D16" s="876">
        <f>('E-InvAT'!C12-'E-InvAT'!B12)-('E-InvAT'!C17-'E-InvAT'!B17)</f>
        <v>762971.9244298999</v>
      </c>
      <c r="E16" s="876">
        <f>('E-InvAT'!D12-'E-InvAT'!C12)-('E-InvAT'!D17-'E-InvAT'!C17)</f>
        <v>2751.2938847971545</v>
      </c>
      <c r="F16" s="876">
        <f>('E-InvAT'!E12-'E-InvAT'!D12)-('E-InvAT'!E17-'E-InvAT'!D17)</f>
        <v>0</v>
      </c>
      <c r="G16" s="876">
        <f>('E-InvAT'!F12-'E-InvAT'!E12)-('E-InvAT'!F17-'E-InvAT'!E17)</f>
        <v>-24.948549195731175</v>
      </c>
      <c r="H16" s="876">
        <f>('E-InvAT'!G12-'E-InvAT'!F12)-('E-InvAT'!G17-'E-InvAT'!F17)</f>
        <v>0</v>
      </c>
      <c r="I16" s="558">
        <f t="shared" si="2"/>
        <v>765698.26976550126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560" t="s">
        <v>431</v>
      </c>
      <c r="B17" s="561"/>
      <c r="C17" s="561"/>
      <c r="D17" s="561">
        <f>('E-InvAT'!C13-'E-InvAT'!C18)-('E-InvAT'!B13-'E-InvAT'!B18)</f>
        <v>1269801.5333994706</v>
      </c>
      <c r="E17" s="561">
        <f>('E-InvAT'!D13-'E-InvAT'!D18)-('E-InvAT'!C13-'E-InvAT'!C18)</f>
        <v>1950271.5825330592</v>
      </c>
      <c r="F17" s="561">
        <f>('E-InvAT'!E13-'E-InvAT'!E18)-('E-InvAT'!D13-'E-InvAT'!D18)</f>
        <v>31.722476693801582</v>
      </c>
      <c r="G17" s="561">
        <f>('E-InvAT'!F13-'E-InvAT'!F18)-('E-InvAT'!E13-'E-InvAT'!E18)</f>
        <v>20727.781402227003</v>
      </c>
      <c r="H17" s="562">
        <f>('E-InvAT'!G13-'E-InvAT'!G18)-('E-InvAT'!F13-'E-InvAT'!F18)</f>
        <v>-4.7446376741863787</v>
      </c>
      <c r="I17" s="558">
        <f t="shared" si="2"/>
        <v>3240827.8751737764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60" t="s">
        <v>444</v>
      </c>
      <c r="B18" s="563"/>
      <c r="C18" s="563">
        <f t="shared" ref="C18:H18" si="3">SUM(C11:C17)</f>
        <v>45900904.701132946</v>
      </c>
      <c r="D18" s="563">
        <f t="shared" si="3"/>
        <v>21945284.560025729</v>
      </c>
      <c r="E18" s="563">
        <f t="shared" si="3"/>
        <v>8823418.0145141259</v>
      </c>
      <c r="F18" s="563">
        <f t="shared" si="3"/>
        <v>161391.86612071004</v>
      </c>
      <c r="G18" s="563">
        <f t="shared" si="3"/>
        <v>51201.714597440252</v>
      </c>
      <c r="H18" s="563">
        <f t="shared" si="3"/>
        <v>1829.8729812069796</v>
      </c>
      <c r="I18" s="563">
        <f t="shared" si="2"/>
        <v>76884030.729372144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564"/>
      <c r="B19" s="512"/>
      <c r="C19" s="512"/>
      <c r="D19" s="512"/>
      <c r="E19" s="512"/>
      <c r="F19" s="512"/>
      <c r="G19" s="512"/>
      <c r="H19" s="557"/>
      <c r="I19" s="558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511" t="s">
        <v>445</v>
      </c>
      <c r="B20" s="514"/>
      <c r="C20" s="514"/>
      <c r="D20" s="514"/>
      <c r="E20" s="514"/>
      <c r="F20" s="514"/>
      <c r="G20" s="514"/>
      <c r="H20" s="559"/>
      <c r="I20" s="55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516" t="s">
        <v>446</v>
      </c>
      <c r="B21" s="514">
        <f t="shared" ref="B21:C21" si="4">B8*0.21</f>
        <v>12600</v>
      </c>
      <c r="C21" s="514">
        <f t="shared" si="4"/>
        <v>3683689.419795881</v>
      </c>
      <c r="D21" s="576">
        <f>InfoInicial!$B$3*D8</f>
        <v>917251.35641074635</v>
      </c>
      <c r="E21" s="576">
        <f>InfoInicial!$B$3*E8</f>
        <v>0</v>
      </c>
      <c r="F21" s="576">
        <f>InfoInicial!$B$3*F8</f>
        <v>0</v>
      </c>
      <c r="G21" s="576">
        <f>InfoInicial!$B$3*G8</f>
        <v>0</v>
      </c>
      <c r="H21" s="576">
        <f>InfoInicial!$B$3*H8</f>
        <v>0</v>
      </c>
      <c r="I21" s="558">
        <f t="shared" ref="I21:I23" si="5">SUM(B21:H21)</f>
        <v>4613540.7762066275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560" t="s">
        <v>447</v>
      </c>
      <c r="B22" s="561"/>
      <c r="C22" s="561">
        <f>'E-InvAT'!B34</f>
        <v>8515521.9872379191</v>
      </c>
      <c r="D22" s="880">
        <f>'E-InvAT'!C34</f>
        <v>-375007.21428364352</v>
      </c>
      <c r="E22" s="880">
        <f>'E-InvAT'!D34</f>
        <v>392753.61126273288</v>
      </c>
      <c r="F22" s="880">
        <f>'E-InvAT'!E34</f>
        <v>6.6617201057961211</v>
      </c>
      <c r="G22" s="880">
        <f>'E-InvAT'!F34</f>
        <v>1515.6463145261514</v>
      </c>
      <c r="H22" s="880">
        <f>'E-InvAT'!G34</f>
        <v>-0.99637391150463372</v>
      </c>
      <c r="I22" s="558">
        <f t="shared" si="5"/>
        <v>8534789.695877729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60" t="s">
        <v>448</v>
      </c>
      <c r="B23" s="563">
        <f t="shared" ref="B23:H23" si="6">B21+B22</f>
        <v>12600</v>
      </c>
      <c r="C23" s="563">
        <f t="shared" si="6"/>
        <v>12199211.407033801</v>
      </c>
      <c r="D23" s="563">
        <f t="shared" si="6"/>
        <v>542244.14212710282</v>
      </c>
      <c r="E23" s="563">
        <f t="shared" si="6"/>
        <v>392753.61126273288</v>
      </c>
      <c r="F23" s="563">
        <f t="shared" si="6"/>
        <v>6.6617201057961211</v>
      </c>
      <c r="G23" s="563">
        <f t="shared" si="6"/>
        <v>1515.6463145261514</v>
      </c>
      <c r="H23" s="563">
        <f t="shared" si="6"/>
        <v>-0.99637391150463372</v>
      </c>
      <c r="I23" s="563">
        <f t="shared" si="5"/>
        <v>13148330.472084356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60"/>
      <c r="B24" s="563"/>
      <c r="C24" s="563"/>
      <c r="D24" s="563"/>
      <c r="E24" s="563"/>
      <c r="F24" s="563"/>
      <c r="G24" s="563"/>
      <c r="H24" s="563"/>
      <c r="I24" s="563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60" t="s">
        <v>449</v>
      </c>
      <c r="B25" s="563">
        <f t="shared" ref="B25:H25" si="7">B8+B18+B23</f>
        <v>72600</v>
      </c>
      <c r="C25" s="563">
        <f t="shared" si="7"/>
        <v>75641494.297670946</v>
      </c>
      <c r="D25" s="563">
        <f t="shared" si="7"/>
        <v>26855392.304108769</v>
      </c>
      <c r="E25" s="563">
        <f t="shared" si="7"/>
        <v>9216171.625776859</v>
      </c>
      <c r="F25" s="563">
        <f t="shared" si="7"/>
        <v>161398.52784081583</v>
      </c>
      <c r="G25" s="563">
        <f t="shared" si="7"/>
        <v>52717.360911966403</v>
      </c>
      <c r="H25" s="563">
        <f t="shared" si="7"/>
        <v>1828.876607295475</v>
      </c>
      <c r="I25" s="563">
        <f>SUM(B25:H25)</f>
        <v>112001602.99291666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activeCell="C4" sqref="C4"/>
    </sheetView>
  </sheetViews>
  <sheetFormatPr baseColWidth="10" defaultColWidth="14.42578125" defaultRowHeight="15" customHeight="1"/>
  <cols>
    <col min="1" max="1" width="7.85546875" customWidth="1"/>
    <col min="2" max="2" width="14.7109375" customWidth="1"/>
    <col min="3" max="3" width="19.5703125" customWidth="1"/>
    <col min="4" max="4" width="16.85546875" customWidth="1"/>
    <col min="5" max="6" width="14.7109375" customWidth="1"/>
    <col min="7" max="7" width="21.85546875" customWidth="1"/>
    <col min="8" max="8" width="16" customWidth="1"/>
    <col min="9" max="9" width="14.7109375" customWidth="1"/>
    <col min="10" max="10" width="16" customWidth="1"/>
    <col min="11" max="11" width="14.7109375" customWidth="1"/>
    <col min="12" max="13" width="19.42578125" customWidth="1"/>
    <col min="14" max="26" width="10" customWidth="1"/>
  </cols>
  <sheetData>
    <row r="1" spans="1:26" ht="12.75" customHeight="1">
      <c r="A1" s="2" t="s">
        <v>0</v>
      </c>
      <c r="E1" s="40"/>
      <c r="F1" s="40"/>
      <c r="G1" s="40">
        <f>InfoInicial!E1</f>
        <v>4</v>
      </c>
      <c r="H1" s="3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519" t="s">
        <v>430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9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38.25" customHeight="1">
      <c r="A3" s="523" t="s">
        <v>432</v>
      </c>
      <c r="B3" s="524" t="s">
        <v>433</v>
      </c>
      <c r="C3" s="524" t="s">
        <v>434</v>
      </c>
      <c r="D3" s="524" t="s">
        <v>435</v>
      </c>
      <c r="E3" s="524" t="s">
        <v>10</v>
      </c>
      <c r="F3" s="524" t="s">
        <v>436</v>
      </c>
      <c r="G3" s="524" t="s">
        <v>437</v>
      </c>
      <c r="H3" s="524" t="s">
        <v>438</v>
      </c>
      <c r="I3" s="524" t="s">
        <v>439</v>
      </c>
      <c r="J3" s="524" t="s">
        <v>440</v>
      </c>
      <c r="K3" s="524" t="s">
        <v>441</v>
      </c>
      <c r="L3" s="566" t="s">
        <v>442</v>
      </c>
      <c r="M3" s="567" t="s">
        <v>443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 customHeight="1">
      <c r="A4" s="568">
        <v>0</v>
      </c>
      <c r="B4" s="526">
        <f>'E-Cal Inv.'!B8+'E-Cal Inv.'!C8</f>
        <v>17601378.189504195</v>
      </c>
      <c r="C4" s="512">
        <f>'E-Cal Inv.'!C18</f>
        <v>45900904.701132946</v>
      </c>
      <c r="D4" s="512">
        <f>'E-Cal Inv.'!B23+'E-Cal Inv.'!C23</f>
        <v>12211811.407033801</v>
      </c>
      <c r="E4" s="569">
        <v>0</v>
      </c>
      <c r="F4" s="570">
        <v>0</v>
      </c>
      <c r="G4" s="571">
        <f t="shared" ref="G4:G9" si="0">SUM(B4:F4)</f>
        <v>75714094.297670946</v>
      </c>
      <c r="H4" s="570">
        <v>0</v>
      </c>
      <c r="I4" s="512"/>
      <c r="J4" s="512"/>
      <c r="K4" s="557"/>
      <c r="L4" s="572">
        <f t="shared" ref="L4:L9" si="1">K4-G4</f>
        <v>-75714094.297670946</v>
      </c>
      <c r="M4" s="513">
        <f>L4</f>
        <v>-75714094.297670946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2.75" customHeight="1">
      <c r="A5" s="573">
        <v>1</v>
      </c>
      <c r="B5" s="878">
        <f>+'E-Cal Inv.'!D8</f>
        <v>4367863.6019559354</v>
      </c>
      <c r="C5" s="575">
        <f>'E-Cal Inv.'!D18</f>
        <v>21945284.560025729</v>
      </c>
      <c r="D5" s="514">
        <f>'E-Cal Inv.'!D23</f>
        <v>542244.14212710282</v>
      </c>
      <c r="E5" s="512">
        <f>'E-Costos'!B$119</f>
        <v>1598077.4709643917</v>
      </c>
      <c r="F5" s="514">
        <f>'E-Costos'!B120</f>
        <v>21813757.478663944</v>
      </c>
      <c r="G5" s="571">
        <f t="shared" si="0"/>
        <v>50267227.253737107</v>
      </c>
      <c r="H5" s="514">
        <f>'E-Costos'!B$118</f>
        <v>63923098.838575661</v>
      </c>
      <c r="I5" s="514">
        <f>'E-Inv AF y Am'!D56</f>
        <v>2637788.4368830263</v>
      </c>
      <c r="J5" s="571">
        <f>'E-IVA '!C28</f>
        <v>12754055.549160903</v>
      </c>
      <c r="K5" s="577">
        <f t="shared" ref="K5:K9" si="2">SUM(H5:J5)</f>
        <v>79314942.824619591</v>
      </c>
      <c r="L5" s="572">
        <f t="shared" si="1"/>
        <v>29047715.570882484</v>
      </c>
      <c r="M5" s="517">
        <f t="shared" ref="M5:M9" si="3">M4+L5</f>
        <v>-46666378.726788461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2.75" customHeight="1">
      <c r="A6" s="573">
        <v>2</v>
      </c>
      <c r="B6" s="528"/>
      <c r="C6" s="575">
        <f>'E-Cal Inv.'!E18</f>
        <v>8823418.0145141259</v>
      </c>
      <c r="D6" s="514">
        <f>'E-Cal Inv.'!E23</f>
        <v>392753.61126273288</v>
      </c>
      <c r="E6" s="512">
        <f>'E-Costos'!C119</f>
        <v>1993866.7154340388</v>
      </c>
      <c r="F6" s="514">
        <f>'E-Costos'!C120</f>
        <v>27216280.665674623</v>
      </c>
      <c r="G6" s="571">
        <f t="shared" si="0"/>
        <v>38426319.006885521</v>
      </c>
      <c r="H6" s="514">
        <f>'E-Costos'!C$118</f>
        <v>79754668.617361546</v>
      </c>
      <c r="I6" s="514">
        <f>'E-Inv AF y Am'!D56</f>
        <v>2637788.4368830263</v>
      </c>
      <c r="J6" s="571">
        <f>'E-IVA '!D28</f>
        <v>392753.61126273288</v>
      </c>
      <c r="K6" s="577">
        <f t="shared" si="2"/>
        <v>82785210.665507317</v>
      </c>
      <c r="L6" s="572">
        <f t="shared" si="1"/>
        <v>44358891.658621795</v>
      </c>
      <c r="M6" s="517">
        <f t="shared" si="3"/>
        <v>-2307487.0681666657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2.75" customHeight="1">
      <c r="A7" s="573">
        <v>3</v>
      </c>
      <c r="B7" s="528"/>
      <c r="C7" s="578">
        <f>'E-Cal Inv.'!F18</f>
        <v>161391.86612071004</v>
      </c>
      <c r="D7" s="514">
        <f>'E-Cal Inv.'!F23</f>
        <v>6.6617201057961211</v>
      </c>
      <c r="E7" s="512">
        <f>'E-Costos'!D$119</f>
        <v>1992728.8703683049</v>
      </c>
      <c r="F7" s="514">
        <f>'E-Costos'!D120</f>
        <v>27200749.080527361</v>
      </c>
      <c r="G7" s="571">
        <f t="shared" si="0"/>
        <v>29354876.478736483</v>
      </c>
      <c r="H7" s="514">
        <f>'E-Costos'!D$118</f>
        <v>79709154.814732194</v>
      </c>
      <c r="I7" s="514">
        <f>'E-Inv AF y Am'!D56</f>
        <v>2637788.4368830263</v>
      </c>
      <c r="J7" s="571">
        <f>'E-IVA '!E28</f>
        <v>6.6617201057961211</v>
      </c>
      <c r="K7" s="577">
        <f t="shared" si="2"/>
        <v>82346949.913335338</v>
      </c>
      <c r="L7" s="572">
        <f t="shared" si="1"/>
        <v>52992073.434598856</v>
      </c>
      <c r="M7" s="517">
        <f t="shared" si="3"/>
        <v>50684586.36643219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 customHeight="1">
      <c r="A8" s="573">
        <v>4</v>
      </c>
      <c r="B8" s="528"/>
      <c r="C8" s="578">
        <f>'E-Cal Inv.'!G18</f>
        <v>51201.714597440252</v>
      </c>
      <c r="D8" s="514">
        <f>'E-Cal Inv.'!G23</f>
        <v>1515.6463145261514</v>
      </c>
      <c r="E8" s="512">
        <f>'E-Costos'!E$119</f>
        <v>1998437.8829334334</v>
      </c>
      <c r="F8" s="514">
        <f>'E-Costos'!E120</f>
        <v>27278677.102041364</v>
      </c>
      <c r="G8" s="571">
        <f t="shared" si="0"/>
        <v>29329832.345886763</v>
      </c>
      <c r="H8" s="514">
        <f>'E-Costos'!E$118</f>
        <v>79937515.317337334</v>
      </c>
      <c r="I8" s="514">
        <f>'E-Inv AF y Am'!E56</f>
        <v>2232315.7604638594</v>
      </c>
      <c r="J8" s="571">
        <f>'E-IVA '!F28</f>
        <v>1515.6463145261514</v>
      </c>
      <c r="K8" s="577">
        <f t="shared" si="2"/>
        <v>82171346.724115729</v>
      </c>
      <c r="L8" s="572">
        <f t="shared" si="1"/>
        <v>52841514.378228962</v>
      </c>
      <c r="M8" s="517">
        <f t="shared" si="3"/>
        <v>103526100.74466115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573">
        <v>5</v>
      </c>
      <c r="B9" s="528">
        <f>('E-Inv AF y Am'!F56)</f>
        <v>-9591244.9598833341</v>
      </c>
      <c r="C9" s="578">
        <f>-'E-Cal Inv.'!I18+'E-Cal Inv.'!H18</f>
        <v>-76882200.856390938</v>
      </c>
      <c r="D9" s="514">
        <f>'E-Cal Inv.'!H23</f>
        <v>-0.99637391150463372</v>
      </c>
      <c r="E9" s="512">
        <f>'E-Costos'!F$119</f>
        <v>1998527.1548744545</v>
      </c>
      <c r="F9" s="514">
        <f>'E-Costos'!F120</f>
        <v>27279895.6640363</v>
      </c>
      <c r="G9" s="571">
        <f t="shared" si="0"/>
        <v>-57195023.993737414</v>
      </c>
      <c r="H9" s="514">
        <f>'E-Costos'!F$118</f>
        <v>79941086.194978178</v>
      </c>
      <c r="I9" s="514">
        <f>'E-Inv AF y Am'!E56</f>
        <v>2232315.7604638594</v>
      </c>
      <c r="J9" s="571">
        <f>'E-IVA '!G28</f>
        <v>-0.99637391150463372</v>
      </c>
      <c r="K9" s="577">
        <f t="shared" si="2"/>
        <v>82173400.959068134</v>
      </c>
      <c r="L9" s="572">
        <f t="shared" si="1"/>
        <v>139368424.95280555</v>
      </c>
      <c r="M9" s="517">
        <f t="shared" si="3"/>
        <v>242894525.6974667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.75" customHeight="1">
      <c r="A10" s="573"/>
      <c r="B10" s="528"/>
      <c r="C10" s="514"/>
      <c r="D10" s="514"/>
      <c r="E10" s="512"/>
      <c r="F10" s="514"/>
      <c r="G10" s="514"/>
      <c r="H10" s="514"/>
      <c r="I10" s="514"/>
      <c r="J10" s="514"/>
      <c r="K10" s="514"/>
      <c r="L10" s="559"/>
      <c r="M10" s="517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>
      <c r="A11" s="579" t="s">
        <v>450</v>
      </c>
      <c r="B11" s="580">
        <f t="shared" ref="B11:D11" si="4">SUM(B4:B10)</f>
        <v>12377996.831576796</v>
      </c>
      <c r="C11" s="580">
        <f t="shared" si="4"/>
        <v>0</v>
      </c>
      <c r="D11" s="580">
        <f t="shared" si="4"/>
        <v>13148330.472084356</v>
      </c>
      <c r="E11" s="580">
        <f>SUM(E5:E10)</f>
        <v>9581638.0945746228</v>
      </c>
      <c r="F11" s="580">
        <f t="shared" ref="F11:K11" si="5">SUM(F4:F10)</f>
        <v>130789359.9909436</v>
      </c>
      <c r="G11" s="580">
        <f t="shared" si="5"/>
        <v>165897325.38917941</v>
      </c>
      <c r="H11" s="580">
        <f t="shared" si="5"/>
        <v>383265523.78298491</v>
      </c>
      <c r="I11" s="580">
        <f t="shared" si="5"/>
        <v>12377996.831576798</v>
      </c>
      <c r="J11" s="580">
        <f t="shared" si="5"/>
        <v>13148330.472084356</v>
      </c>
      <c r="K11" s="580">
        <f t="shared" si="5"/>
        <v>408791851.08664608</v>
      </c>
      <c r="L11" s="581">
        <f>K11-G11</f>
        <v>242894525.69746667</v>
      </c>
      <c r="M11" s="582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40"/>
      <c r="B13" s="40"/>
      <c r="C13" s="25" t="s">
        <v>451</v>
      </c>
      <c r="D13" s="583">
        <f>L11</f>
        <v>242894525.69746667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35"/>
      <c r="B14" s="40"/>
      <c r="C14" s="25" t="s">
        <v>452</v>
      </c>
      <c r="D14" s="584">
        <f>2-M6/M7</f>
        <v>2.045526406223074</v>
      </c>
      <c r="E14" s="40" t="s">
        <v>453</v>
      </c>
      <c r="F14" s="585" t="s">
        <v>454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40"/>
      <c r="B15" s="40"/>
      <c r="C15" s="25" t="s">
        <v>455</v>
      </c>
      <c r="D15" s="586">
        <f>IRR(L4:L9)</f>
        <v>0.5533142243691922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944" t="s">
        <v>456</v>
      </c>
      <c r="M16" s="902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40"/>
      <c r="B17" s="40"/>
      <c r="C17" s="40"/>
      <c r="D17" s="40"/>
      <c r="E17" s="40"/>
      <c r="F17" s="40"/>
      <c r="G17" s="40"/>
      <c r="H17" s="40"/>
      <c r="I17" s="40"/>
      <c r="J17" s="587"/>
      <c r="K17" s="40"/>
      <c r="L17" s="944" t="s">
        <v>457</v>
      </c>
      <c r="M17" s="902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40"/>
      <c r="B18" s="40"/>
      <c r="C18" s="40"/>
      <c r="D18" s="40"/>
      <c r="E18" s="40"/>
      <c r="F18" s="40"/>
      <c r="G18" s="585"/>
      <c r="I18" s="588"/>
      <c r="J18" s="40"/>
      <c r="K18" s="40"/>
      <c r="L18" s="589" t="s">
        <v>439</v>
      </c>
      <c r="M18" s="590" t="str">
        <f>IF(B11=I11,"OK","MAL")</f>
        <v>OK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40"/>
      <c r="C19" s="40"/>
      <c r="D19" s="591"/>
      <c r="E19" s="585"/>
      <c r="F19" s="40"/>
      <c r="G19" s="40"/>
      <c r="H19" s="40"/>
      <c r="I19" s="40"/>
      <c r="J19" s="40"/>
      <c r="K19" s="40"/>
      <c r="L19" s="589" t="s">
        <v>458</v>
      </c>
      <c r="M19" s="590" t="str">
        <f>IF(D11=J11,"OK","MAL")</f>
        <v>OK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40"/>
      <c r="B20" s="592" t="s">
        <v>459</v>
      </c>
      <c r="C20" s="593"/>
      <c r="D20" s="594"/>
      <c r="E20" s="40"/>
      <c r="F20" s="40"/>
      <c r="G20" s="40"/>
      <c r="H20" s="595"/>
      <c r="I20" s="585"/>
      <c r="J20" s="40"/>
      <c r="K20" s="40"/>
      <c r="L20" s="589" t="s">
        <v>460</v>
      </c>
      <c r="M20" s="590" t="str">
        <f>IF(C11=0,"OK","MAL")</f>
        <v>OK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40"/>
      <c r="B21" s="596" t="s">
        <v>461</v>
      </c>
      <c r="C21" s="597"/>
      <c r="D21" s="597"/>
      <c r="E21" s="40"/>
      <c r="F21" s="40"/>
      <c r="G21" s="40"/>
      <c r="H21" s="40"/>
      <c r="I21" s="40"/>
      <c r="J21" s="40"/>
      <c r="K21" s="40"/>
      <c r="L21" s="589" t="s">
        <v>462</v>
      </c>
      <c r="M21" s="590" t="str">
        <f>IF((H11-F11-E11)=L11,IF(L11=M9,"OK","MAL"),"MAL")</f>
        <v>OK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40"/>
      <c r="B22" s="598">
        <f>H11-F11-E11-L11</f>
        <v>0</v>
      </c>
      <c r="C22" s="596" t="s">
        <v>463</v>
      </c>
      <c r="D22" s="59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40"/>
      <c r="B23" s="585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mergeCells count="2">
    <mergeCell ref="L16:M16"/>
    <mergeCell ref="L17:M17"/>
  </mergeCells>
  <conditionalFormatting sqref="M18">
    <cfRule type="cellIs" dxfId="41" priority="1" operator="equal">
      <formula>"OK"</formula>
    </cfRule>
  </conditionalFormatting>
  <conditionalFormatting sqref="M18">
    <cfRule type="cellIs" dxfId="40" priority="2" operator="equal">
      <formula>"MAL"</formula>
    </cfRule>
  </conditionalFormatting>
  <conditionalFormatting sqref="M19">
    <cfRule type="cellIs" dxfId="39" priority="3" operator="equal">
      <formula>"OK"</formula>
    </cfRule>
  </conditionalFormatting>
  <conditionalFormatting sqref="M19">
    <cfRule type="cellIs" dxfId="38" priority="4" operator="equal">
      <formula>"MAL"</formula>
    </cfRule>
  </conditionalFormatting>
  <conditionalFormatting sqref="M20">
    <cfRule type="cellIs" dxfId="37" priority="5" operator="equal">
      <formula>"OK"</formula>
    </cfRule>
  </conditionalFormatting>
  <conditionalFormatting sqref="M20">
    <cfRule type="cellIs" dxfId="36" priority="6" operator="equal">
      <formula>"MAL"</formula>
    </cfRule>
  </conditionalFormatting>
  <conditionalFormatting sqref="M21">
    <cfRule type="cellIs" dxfId="35" priority="7" operator="equal">
      <formula>"OK"</formula>
    </cfRule>
  </conditionalFormatting>
  <conditionalFormatting sqref="M21">
    <cfRule type="cellIs" dxfId="34" priority="8" operator="equal">
      <formula>"MAL"</formula>
    </cfRule>
  </conditionalFormatting>
  <conditionalFormatting sqref="J17">
    <cfRule type="cellIs" dxfId="33" priority="9" operator="equal">
      <formula>"OK"</formula>
    </cfRule>
  </conditionalFormatting>
  <conditionalFormatting sqref="J17">
    <cfRule type="cellIs" dxfId="32" priority="10" operator="equal">
      <formula>"MAL"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M64"/>
  <sheetViews>
    <sheetView workbookViewId="0">
      <selection activeCell="E39" activeCellId="1" sqref="B39 E39"/>
    </sheetView>
  </sheetViews>
  <sheetFormatPr baseColWidth="10" defaultColWidth="14.42578125" defaultRowHeight="15" customHeight="1"/>
  <sheetData>
    <row r="1" spans="1:10" ht="15" customHeight="1">
      <c r="A1" s="669"/>
      <c r="B1" s="471"/>
      <c r="C1" s="471"/>
      <c r="D1" s="670" t="s">
        <v>63</v>
      </c>
      <c r="E1" s="671"/>
      <c r="F1" s="670"/>
      <c r="G1" s="672">
        <v>30</v>
      </c>
      <c r="H1" s="471"/>
      <c r="I1" s="471"/>
      <c r="J1" s="471"/>
    </row>
    <row r="2" spans="1:10" ht="15" customHeight="1">
      <c r="A2" s="669" t="s">
        <v>537</v>
      </c>
      <c r="B2" s="471"/>
      <c r="C2" s="471"/>
      <c r="D2" s="670"/>
      <c r="E2" s="670" t="s">
        <v>64</v>
      </c>
      <c r="F2" s="670"/>
      <c r="G2" s="673">
        <v>0.5</v>
      </c>
      <c r="H2" s="471"/>
      <c r="I2" s="471"/>
      <c r="J2" s="471"/>
    </row>
    <row r="3" spans="1:10" ht="15" customHeight="1">
      <c r="A3" s="469" t="s">
        <v>538</v>
      </c>
      <c r="B3" s="674">
        <f>'Calculos auxiliares'!F218/12</f>
        <v>240480</v>
      </c>
      <c r="C3" s="471"/>
      <c r="D3" s="670"/>
      <c r="E3" s="670" t="s">
        <v>65</v>
      </c>
      <c r="F3" s="670"/>
      <c r="G3" s="675">
        <v>0.24</v>
      </c>
      <c r="H3" s="471"/>
      <c r="I3" s="471"/>
      <c r="J3" s="471"/>
    </row>
    <row r="4" spans="1:10" ht="15" customHeight="1">
      <c r="A4" s="469" t="s">
        <v>539</v>
      </c>
      <c r="B4" s="676">
        <f>'Calculos auxiliares'!F246</f>
        <v>103.99571039999999</v>
      </c>
      <c r="C4" s="471"/>
      <c r="D4" s="471"/>
      <c r="E4" s="471"/>
      <c r="F4" s="677"/>
      <c r="G4" s="678"/>
      <c r="H4" s="471"/>
      <c r="I4" s="471"/>
      <c r="J4" s="471"/>
    </row>
    <row r="5" spans="1:10" ht="15" customHeight="1">
      <c r="A5" s="539" t="s">
        <v>540</v>
      </c>
      <c r="B5" s="539">
        <f>B3*B4</f>
        <v>25008888.436991997</v>
      </c>
      <c r="C5" s="471"/>
      <c r="D5" s="471"/>
      <c r="E5" s="471"/>
      <c r="F5" s="471"/>
      <c r="G5" s="471"/>
      <c r="H5" s="471"/>
      <c r="I5" s="471"/>
      <c r="J5" s="471"/>
    </row>
    <row r="6" spans="1:10" ht="15" customHeight="1">
      <c r="A6" s="471"/>
      <c r="B6" s="471"/>
      <c r="C6" s="471"/>
      <c r="D6" s="471"/>
      <c r="E6" s="471"/>
      <c r="F6" s="471"/>
      <c r="G6" s="471"/>
      <c r="H6" s="471"/>
      <c r="I6" s="471"/>
      <c r="J6" s="471"/>
    </row>
    <row r="7" spans="1:10" ht="15" customHeight="1">
      <c r="A7" s="469" t="s">
        <v>541</v>
      </c>
      <c r="B7" s="469">
        <f>B5*G2</f>
        <v>12504444.218495999</v>
      </c>
      <c r="C7" s="471"/>
      <c r="D7" s="471"/>
      <c r="E7" s="471"/>
      <c r="F7" s="471"/>
      <c r="G7" s="471"/>
      <c r="H7" s="471"/>
      <c r="I7" s="471"/>
      <c r="J7" s="471"/>
    </row>
    <row r="8" spans="1:10" ht="15" customHeight="1">
      <c r="A8" s="469" t="s">
        <v>542</v>
      </c>
      <c r="B8" s="679">
        <f>+B7*G3*G1/365</f>
        <v>246663.00924156493</v>
      </c>
      <c r="C8" s="471"/>
      <c r="D8" s="471"/>
      <c r="E8" s="471"/>
      <c r="F8" s="471"/>
      <c r="G8" s="471"/>
      <c r="H8" s="471"/>
      <c r="I8" s="471"/>
      <c r="J8" s="471"/>
    </row>
    <row r="9" spans="1:10" ht="15" customHeight="1">
      <c r="A9" s="469" t="s">
        <v>543</v>
      </c>
      <c r="B9" s="680">
        <v>12</v>
      </c>
      <c r="C9" s="471"/>
      <c r="D9" s="471"/>
      <c r="E9" s="471"/>
      <c r="F9" s="471"/>
      <c r="G9" s="471"/>
      <c r="H9" s="471"/>
      <c r="I9" s="471"/>
      <c r="J9" s="471"/>
    </row>
    <row r="10" spans="1:10" ht="15" customHeight="1">
      <c r="A10" s="539" t="s">
        <v>544</v>
      </c>
      <c r="B10" s="681">
        <f>+B8*B9</f>
        <v>2959956.1108987792</v>
      </c>
      <c r="C10" s="471"/>
      <c r="D10" s="471"/>
      <c r="E10" s="471"/>
      <c r="F10" s="471"/>
      <c r="G10" s="471"/>
      <c r="H10" s="471"/>
      <c r="I10" s="471"/>
      <c r="J10" s="471"/>
    </row>
    <row r="11" spans="1:10" ht="15" customHeight="1">
      <c r="A11" s="471"/>
      <c r="B11" s="471"/>
      <c r="C11" s="471"/>
      <c r="D11" s="471"/>
      <c r="E11" s="471"/>
      <c r="F11" s="471"/>
      <c r="G11" s="471"/>
      <c r="H11" s="471"/>
      <c r="I11" s="471"/>
      <c r="J11" s="471"/>
    </row>
    <row r="12" spans="1:10" ht="15" customHeight="1">
      <c r="A12" s="682" t="s">
        <v>545</v>
      </c>
      <c r="B12" s="683">
        <f>+B10/InfoInicial!$B$41</f>
        <v>12333150.462078247</v>
      </c>
      <c r="C12" s="471"/>
      <c r="D12" s="471"/>
      <c r="E12" s="471"/>
      <c r="F12" s="471"/>
      <c r="G12" s="471"/>
      <c r="H12" s="471"/>
      <c r="I12" s="471"/>
      <c r="J12" s="471"/>
    </row>
    <row r="13" spans="1:10" ht="15" customHeight="1">
      <c r="A13" s="471"/>
      <c r="B13" s="471"/>
      <c r="C13" s="471"/>
      <c r="D13" s="471"/>
      <c r="E13" s="471"/>
      <c r="F13" s="471"/>
      <c r="G13" s="471"/>
      <c r="H13" s="471"/>
      <c r="I13" s="471"/>
      <c r="J13" s="471"/>
    </row>
    <row r="14" spans="1:10" ht="15" customHeight="1">
      <c r="A14" s="471"/>
      <c r="B14" s="471"/>
      <c r="C14" s="471"/>
      <c r="D14" s="471"/>
      <c r="E14" s="471"/>
      <c r="F14" s="471"/>
      <c r="G14" s="471"/>
      <c r="H14" s="471"/>
      <c r="I14" s="471"/>
      <c r="J14" s="471"/>
    </row>
    <row r="15" spans="1:10" ht="15" customHeight="1">
      <c r="A15" s="946" t="s">
        <v>546</v>
      </c>
      <c r="B15" s="907"/>
      <c r="C15" s="943" t="s">
        <v>547</v>
      </c>
      <c r="D15" s="907"/>
      <c r="E15" s="471"/>
      <c r="F15" s="471"/>
      <c r="G15" s="471"/>
      <c r="H15" s="471"/>
      <c r="I15" s="471"/>
      <c r="J15" s="471"/>
    </row>
    <row r="16" spans="1:10" ht="15" customHeight="1">
      <c r="A16" s="534" t="s">
        <v>548</v>
      </c>
      <c r="B16" s="471"/>
      <c r="C16" s="943" t="s">
        <v>549</v>
      </c>
      <c r="D16" s="907"/>
      <c r="E16" s="907"/>
      <c r="F16" s="907"/>
      <c r="G16" s="907"/>
      <c r="H16" s="907"/>
      <c r="I16" s="471"/>
      <c r="J16" s="471"/>
    </row>
    <row r="17" spans="1:10" ht="15" customHeight="1">
      <c r="A17" s="534" t="s">
        <v>550</v>
      </c>
      <c r="B17" s="471"/>
      <c r="C17" s="943" t="s">
        <v>551</v>
      </c>
      <c r="D17" s="907"/>
      <c r="E17" s="471"/>
      <c r="F17" s="471"/>
      <c r="G17" s="471"/>
      <c r="H17" s="471"/>
      <c r="I17" s="471"/>
      <c r="J17" s="471"/>
    </row>
    <row r="18" spans="1:10" ht="15" customHeight="1">
      <c r="A18" s="534" t="s">
        <v>552</v>
      </c>
      <c r="B18" s="471"/>
      <c r="C18" s="469" t="s">
        <v>553</v>
      </c>
      <c r="D18" s="471"/>
      <c r="E18" s="471"/>
      <c r="F18" s="471"/>
      <c r="G18" s="471"/>
      <c r="H18" s="471"/>
      <c r="I18" s="471"/>
      <c r="J18" s="471"/>
    </row>
    <row r="19" spans="1:10" ht="15" customHeight="1">
      <c r="A19" s="534" t="s">
        <v>554</v>
      </c>
      <c r="B19" s="471"/>
      <c r="C19" s="684">
        <v>0.17</v>
      </c>
      <c r="D19" s="469" t="s">
        <v>58</v>
      </c>
      <c r="E19" s="685">
        <v>8.5000000000000006E-2</v>
      </c>
      <c r="F19" s="469" t="s">
        <v>555</v>
      </c>
      <c r="G19" s="471"/>
      <c r="H19" s="471"/>
      <c r="I19" s="471"/>
      <c r="J19" s="471"/>
    </row>
    <row r="20" spans="1:10" ht="15" customHeight="1">
      <c r="A20" s="534" t="s">
        <v>556</v>
      </c>
      <c r="B20" s="471"/>
      <c r="C20" s="470">
        <v>60</v>
      </c>
      <c r="D20" s="469" t="s">
        <v>557</v>
      </c>
      <c r="E20" s="471"/>
      <c r="F20" s="471"/>
      <c r="G20" s="471"/>
      <c r="H20" s="471"/>
      <c r="I20" s="471"/>
      <c r="J20" s="471"/>
    </row>
    <row r="21" spans="1:10" ht="15" customHeight="1">
      <c r="A21" s="946"/>
      <c r="B21" s="907"/>
      <c r="C21" s="684"/>
      <c r="D21" s="469"/>
      <c r="E21" s="471"/>
      <c r="F21" s="471"/>
      <c r="G21" s="471"/>
      <c r="H21" s="471"/>
      <c r="I21" s="471"/>
      <c r="J21" s="471"/>
    </row>
    <row r="22" spans="1:10" ht="15" customHeight="1">
      <c r="A22" s="534" t="s">
        <v>558</v>
      </c>
      <c r="B22" s="471"/>
      <c r="C22" s="686">
        <v>0.02</v>
      </c>
      <c r="D22" s="471"/>
      <c r="E22" s="471"/>
      <c r="F22" s="471"/>
      <c r="G22" s="471"/>
      <c r="H22" s="471"/>
      <c r="I22" s="471"/>
      <c r="J22" s="471"/>
    </row>
    <row r="23" spans="1:10" ht="15" customHeight="1">
      <c r="A23" s="534" t="s">
        <v>559</v>
      </c>
      <c r="B23" s="471"/>
      <c r="C23" s="686">
        <v>1</v>
      </c>
      <c r="D23" s="469" t="s">
        <v>560</v>
      </c>
      <c r="E23" s="471"/>
      <c r="F23" s="471"/>
      <c r="G23" s="471"/>
      <c r="H23" s="471"/>
      <c r="I23" s="471"/>
      <c r="J23" s="471"/>
    </row>
    <row r="24" spans="1:10" ht="15" customHeight="1">
      <c r="A24" s="687"/>
      <c r="B24" s="471"/>
      <c r="C24" s="686">
        <v>0.2</v>
      </c>
      <c r="D24" s="943" t="s">
        <v>561</v>
      </c>
      <c r="E24" s="907"/>
      <c r="F24" s="471"/>
      <c r="G24" s="471"/>
      <c r="H24" s="471"/>
      <c r="I24" s="471"/>
      <c r="J24" s="471"/>
    </row>
    <row r="25" spans="1:10" ht="15" customHeight="1">
      <c r="A25" s="946" t="s">
        <v>562</v>
      </c>
      <c r="B25" s="907"/>
      <c r="C25" s="469" t="s">
        <v>563</v>
      </c>
      <c r="D25" s="471"/>
      <c r="E25" s="471"/>
      <c r="F25" s="471"/>
      <c r="G25" s="471"/>
      <c r="H25" s="471"/>
      <c r="I25" s="471"/>
      <c r="J25" s="471"/>
    </row>
    <row r="26" spans="1:10" ht="15" customHeight="1">
      <c r="A26" s="946" t="s">
        <v>564</v>
      </c>
      <c r="B26" s="907"/>
      <c r="C26" s="469" t="s">
        <v>538</v>
      </c>
      <c r="D26" s="471"/>
      <c r="E26" s="471"/>
      <c r="F26" s="471"/>
      <c r="G26" s="471"/>
      <c r="H26" s="471"/>
      <c r="I26" s="471"/>
      <c r="J26" s="471"/>
    </row>
    <row r="27" spans="1:10" ht="15" customHeight="1">
      <c r="A27" s="534" t="s">
        <v>565</v>
      </c>
      <c r="B27" s="471"/>
      <c r="C27" s="469" t="s">
        <v>566</v>
      </c>
      <c r="D27" s="471"/>
      <c r="E27" s="471"/>
      <c r="F27" s="471"/>
      <c r="G27" s="471"/>
      <c r="H27" s="471"/>
      <c r="I27" s="471"/>
      <c r="J27" s="471"/>
    </row>
    <row r="28" spans="1:10" ht="15" customHeight="1">
      <c r="A28" s="534" t="s">
        <v>567</v>
      </c>
      <c r="B28" s="471"/>
      <c r="C28" s="947" t="s">
        <v>568</v>
      </c>
      <c r="D28" s="907"/>
      <c r="E28" s="907"/>
      <c r="F28" s="907"/>
      <c r="G28" s="907"/>
      <c r="H28" s="471"/>
      <c r="I28" s="471"/>
      <c r="J28" s="471"/>
    </row>
    <row r="29" spans="1:10" ht="15" customHeight="1">
      <c r="A29" s="471"/>
      <c r="B29" s="471"/>
      <c r="C29" s="947" t="s">
        <v>569</v>
      </c>
      <c r="D29" s="907"/>
      <c r="E29" s="907"/>
      <c r="F29" s="907"/>
      <c r="G29" s="907"/>
      <c r="H29" s="907"/>
      <c r="I29" s="907"/>
      <c r="J29" s="471"/>
    </row>
    <row r="30" spans="1:10" ht="15" customHeight="1">
      <c r="A30" s="471"/>
      <c r="B30" s="471"/>
      <c r="C30" s="689"/>
      <c r="D30" s="471"/>
      <c r="E30" s="471"/>
      <c r="F30" s="471"/>
      <c r="G30" s="471"/>
      <c r="H30" s="471"/>
      <c r="I30" s="471"/>
      <c r="J30" s="471"/>
    </row>
    <row r="31" spans="1:10" ht="15.75">
      <c r="A31" s="691" t="s">
        <v>571</v>
      </c>
      <c r="B31" s="692"/>
      <c r="C31" s="692"/>
      <c r="D31" s="692"/>
      <c r="E31" s="692"/>
      <c r="F31" s="692"/>
      <c r="G31" s="692"/>
      <c r="H31" s="692"/>
    </row>
    <row r="32" spans="1:10" ht="15" customHeight="1">
      <c r="A32" s="693" t="s">
        <v>573</v>
      </c>
      <c r="B32" s="694" t="s">
        <v>574</v>
      </c>
      <c r="C32" s="694" t="s">
        <v>576</v>
      </c>
      <c r="D32" s="694" t="s">
        <v>577</v>
      </c>
      <c r="E32" s="694" t="s">
        <v>576</v>
      </c>
      <c r="F32" s="694" t="s">
        <v>578</v>
      </c>
      <c r="G32" s="694" t="s">
        <v>579</v>
      </c>
      <c r="H32" s="695"/>
    </row>
    <row r="33" spans="1:13" ht="15" customHeight="1">
      <c r="A33" s="696"/>
      <c r="B33" s="695"/>
      <c r="C33" s="694" t="s">
        <v>555</v>
      </c>
      <c r="D33" s="694" t="s">
        <v>555</v>
      </c>
      <c r="E33" s="697" t="s">
        <v>58</v>
      </c>
      <c r="F33" s="694" t="s">
        <v>58</v>
      </c>
      <c r="G33" s="694" t="s">
        <v>582</v>
      </c>
      <c r="H33" s="694" t="s">
        <v>583</v>
      </c>
    </row>
    <row r="34" spans="1:13" ht="15" customHeight="1">
      <c r="A34" s="698" t="s">
        <v>585</v>
      </c>
      <c r="B34" s="699">
        <f>'F-Cred'!D5/2</f>
        <v>4487448.6472500004</v>
      </c>
      <c r="C34" s="699"/>
      <c r="D34" s="700"/>
      <c r="E34" s="620" t="s">
        <v>586</v>
      </c>
      <c r="F34" s="702"/>
      <c r="G34" s="700">
        <f>B34*C22</f>
        <v>89748.972945000016</v>
      </c>
      <c r="H34" s="702"/>
    </row>
    <row r="35" spans="1:13" ht="15" customHeight="1">
      <c r="A35" s="703" t="s">
        <v>587</v>
      </c>
      <c r="B35" s="704">
        <f>'F-Cred'!D5</f>
        <v>8974897.2945000008</v>
      </c>
      <c r="C35" s="620"/>
      <c r="D35" s="620">
        <f>B34*$E$19*0.5</f>
        <v>190716.56750812504</v>
      </c>
      <c r="E35" s="620"/>
      <c r="F35" s="620"/>
      <c r="G35" s="620">
        <f>(B35-B34)*C22</f>
        <v>89748.972945000016</v>
      </c>
      <c r="H35" s="626"/>
    </row>
    <row r="36" spans="1:13" ht="15" customHeight="1">
      <c r="A36" s="698" t="s">
        <v>589</v>
      </c>
      <c r="B36" s="704">
        <f>'F-Cred'!D5</f>
        <v>8974897.2945000008</v>
      </c>
      <c r="C36" s="706"/>
      <c r="D36" s="706">
        <f>B35*$E$19</f>
        <v>762866.27003250015</v>
      </c>
      <c r="E36" s="706"/>
      <c r="F36" s="706"/>
      <c r="G36" s="706"/>
      <c r="H36" s="707"/>
    </row>
    <row r="37" spans="1:13" ht="12.75">
      <c r="A37" s="708" t="s">
        <v>591</v>
      </c>
      <c r="B37" s="709"/>
      <c r="C37" s="709"/>
      <c r="D37" s="710">
        <f>SUM(D35:D36)</f>
        <v>953582.83754062513</v>
      </c>
      <c r="E37" s="711" t="s">
        <v>586</v>
      </c>
      <c r="F37" s="713">
        <f>D37</f>
        <v>953582.83754062513</v>
      </c>
      <c r="G37" s="715">
        <f>SUM(G34:G35)</f>
        <v>179497.94589000003</v>
      </c>
      <c r="H37" s="717">
        <f>F37+G37</f>
        <v>1133080.7834306252</v>
      </c>
    </row>
    <row r="38" spans="1:13" ht="12.75">
      <c r="A38" s="719">
        <v>37072</v>
      </c>
      <c r="B38" s="721">
        <f>B36-C38</f>
        <v>8077407.5650500003</v>
      </c>
      <c r="C38" s="724">
        <f t="shared" ref="C38:C47" si="0">$B$35/10</f>
        <v>897489.7294500001</v>
      </c>
      <c r="D38" s="721">
        <f>B36*0.085</f>
        <v>762866.27003250015</v>
      </c>
      <c r="E38" s="721"/>
      <c r="F38" s="727"/>
      <c r="G38" s="729"/>
      <c r="H38" s="730"/>
    </row>
    <row r="39" spans="1:13" ht="12.75">
      <c r="A39" s="733">
        <v>37256</v>
      </c>
      <c r="B39" s="626">
        <f t="shared" ref="B39:B47" si="1">B38-C39</f>
        <v>7179917.8355999999</v>
      </c>
      <c r="C39" s="735">
        <f t="shared" si="0"/>
        <v>897489.7294500001</v>
      </c>
      <c r="D39" s="626">
        <f t="shared" ref="D39:D47" si="2">B38*0.085</f>
        <v>686579.64302925009</v>
      </c>
      <c r="E39" s="620">
        <f>B35/5</f>
        <v>1794979.4589000002</v>
      </c>
      <c r="F39" s="626">
        <f>D38+D39</f>
        <v>1449445.9130617501</v>
      </c>
      <c r="G39" s="739"/>
      <c r="H39" s="624">
        <f>F39+G39</f>
        <v>1449445.9130617501</v>
      </c>
    </row>
    <row r="40" spans="1:13" ht="15.75">
      <c r="A40" s="719">
        <v>37437</v>
      </c>
      <c r="B40" s="626">
        <f t="shared" si="1"/>
        <v>6282428.1061499994</v>
      </c>
      <c r="C40" s="735">
        <f t="shared" si="0"/>
        <v>897489.7294500001</v>
      </c>
      <c r="D40" s="626">
        <f t="shared" si="2"/>
        <v>610293.01602600003</v>
      </c>
      <c r="E40" s="626"/>
      <c r="F40" s="620"/>
      <c r="G40" s="739"/>
      <c r="H40" s="624"/>
      <c r="L40" s="742"/>
      <c r="M40" s="742"/>
    </row>
    <row r="41" spans="1:13" ht="12.75">
      <c r="A41" s="733">
        <v>37621</v>
      </c>
      <c r="B41" s="626">
        <f t="shared" si="1"/>
        <v>5384938.376699999</v>
      </c>
      <c r="C41" s="735">
        <f t="shared" si="0"/>
        <v>897489.7294500001</v>
      </c>
      <c r="D41" s="626">
        <f t="shared" si="2"/>
        <v>534006.38902274997</v>
      </c>
      <c r="E41" s="620">
        <f>$B$35/5</f>
        <v>1794979.4589000002</v>
      </c>
      <c r="F41" s="626">
        <f>D40+D41</f>
        <v>1144299.4050487499</v>
      </c>
      <c r="G41" s="739"/>
      <c r="H41" s="624">
        <f>F41+G41</f>
        <v>1144299.4050487499</v>
      </c>
      <c r="L41" s="945"/>
      <c r="M41" s="945"/>
    </row>
    <row r="42" spans="1:13" ht="12.75">
      <c r="A42" s="719">
        <v>37802</v>
      </c>
      <c r="B42" s="626">
        <f t="shared" si="1"/>
        <v>4487448.6472499985</v>
      </c>
      <c r="C42" s="735">
        <f t="shared" si="0"/>
        <v>897489.7294500001</v>
      </c>
      <c r="D42" s="626">
        <f t="shared" si="2"/>
        <v>457719.76201949996</v>
      </c>
      <c r="E42" s="626"/>
      <c r="F42" s="620"/>
      <c r="G42" s="739"/>
      <c r="H42" s="624"/>
      <c r="L42" s="907"/>
      <c r="M42" s="907"/>
    </row>
    <row r="43" spans="1:13" ht="12.75">
      <c r="A43" s="733">
        <v>37986</v>
      </c>
      <c r="B43" s="626">
        <f t="shared" si="1"/>
        <v>3589958.9177999985</v>
      </c>
      <c r="C43" s="735">
        <f t="shared" si="0"/>
        <v>897489.7294500001</v>
      </c>
      <c r="D43" s="626">
        <f t="shared" si="2"/>
        <v>381433.1350162499</v>
      </c>
      <c r="E43" s="620">
        <f>$B$35/5</f>
        <v>1794979.4589000002</v>
      </c>
      <c r="F43" s="626">
        <f>D42+D43</f>
        <v>839152.89703574986</v>
      </c>
      <c r="G43" s="739"/>
      <c r="H43" s="624">
        <f>F43+G43</f>
        <v>839152.89703574986</v>
      </c>
      <c r="L43" s="674"/>
      <c r="M43" s="745"/>
    </row>
    <row r="44" spans="1:13" ht="12.75">
      <c r="A44" s="719">
        <v>38168</v>
      </c>
      <c r="B44" s="626">
        <f t="shared" si="1"/>
        <v>2692469.1883499986</v>
      </c>
      <c r="C44" s="735">
        <f t="shared" si="0"/>
        <v>897489.7294500001</v>
      </c>
      <c r="D44" s="626">
        <f t="shared" si="2"/>
        <v>305146.5080129999</v>
      </c>
      <c r="E44" s="626"/>
      <c r="F44" s="620"/>
      <c r="G44" s="739"/>
      <c r="H44" s="624"/>
      <c r="L44" s="747"/>
      <c r="M44" s="747"/>
    </row>
    <row r="45" spans="1:13" ht="12.75">
      <c r="A45" s="733">
        <v>38352</v>
      </c>
      <c r="B45" s="626">
        <f t="shared" si="1"/>
        <v>1794979.4588999986</v>
      </c>
      <c r="C45" s="735">
        <f t="shared" si="0"/>
        <v>897489.7294500001</v>
      </c>
      <c r="D45" s="626">
        <f t="shared" si="2"/>
        <v>228859.88100974989</v>
      </c>
      <c r="E45" s="620">
        <f>$B$35/5</f>
        <v>1794979.4589000002</v>
      </c>
      <c r="F45" s="626">
        <f>D44+D45</f>
        <v>534006.38902274985</v>
      </c>
      <c r="G45" s="739"/>
      <c r="H45" s="624">
        <f>F45+G45</f>
        <v>534006.38902274985</v>
      </c>
      <c r="L45" s="747"/>
      <c r="M45" s="747"/>
    </row>
    <row r="46" spans="1:13" ht="12.75">
      <c r="A46" s="719">
        <v>38533</v>
      </c>
      <c r="B46" s="626">
        <f t="shared" si="1"/>
        <v>897489.72944999847</v>
      </c>
      <c r="C46" s="735">
        <f t="shared" si="0"/>
        <v>897489.7294500001</v>
      </c>
      <c r="D46" s="626">
        <f t="shared" si="2"/>
        <v>152573.25400649989</v>
      </c>
      <c r="E46" s="626"/>
      <c r="F46" s="620"/>
      <c r="H46" s="624"/>
      <c r="L46" s="752"/>
      <c r="M46" s="754"/>
    </row>
    <row r="47" spans="1:13" ht="12.75">
      <c r="A47" s="719">
        <v>38717</v>
      </c>
      <c r="B47" s="626">
        <f t="shared" si="1"/>
        <v>-1.6298145055770874E-9</v>
      </c>
      <c r="C47" s="735">
        <f t="shared" si="0"/>
        <v>897489.7294500001</v>
      </c>
      <c r="D47" s="626">
        <f t="shared" si="2"/>
        <v>76286.627003249872</v>
      </c>
      <c r="E47" s="620">
        <f>$B$35/5</f>
        <v>1794979.4589000002</v>
      </c>
      <c r="F47" s="626">
        <f>D46+D47</f>
        <v>228859.88100974978</v>
      </c>
      <c r="G47" s="739"/>
      <c r="H47" s="624">
        <f>F47+G47</f>
        <v>228859.88100974978</v>
      </c>
      <c r="L47" s="752"/>
      <c r="M47" s="754"/>
    </row>
    <row r="48" spans="1:13" ht="12.75">
      <c r="A48" s="758" t="s">
        <v>597</v>
      </c>
      <c r="B48" s="759"/>
      <c r="C48" s="761">
        <f t="shared" ref="C48:F48" si="3">SUM(C37:C47)</f>
        <v>8974897.2945000026</v>
      </c>
      <c r="D48" s="761">
        <f t="shared" si="3"/>
        <v>5149347.3227193737</v>
      </c>
      <c r="E48" s="761">
        <f t="shared" si="3"/>
        <v>8974897.2945000008</v>
      </c>
      <c r="F48" s="762">
        <f t="shared" si="3"/>
        <v>5149347.3227193747</v>
      </c>
      <c r="G48" s="761">
        <f>G37</f>
        <v>179497.94589000003</v>
      </c>
      <c r="H48" s="763" t="s">
        <v>586</v>
      </c>
      <c r="L48" s="764"/>
      <c r="M48" s="764"/>
    </row>
    <row r="49" spans="1:13" ht="12.75">
      <c r="A49" s="471"/>
      <c r="B49" s="471"/>
      <c r="C49" s="471"/>
      <c r="D49" s="471"/>
      <c r="E49" s="471"/>
      <c r="F49" s="471"/>
      <c r="G49" s="471"/>
      <c r="H49" s="471"/>
      <c r="I49" s="471"/>
      <c r="J49" s="471"/>
      <c r="L49" s="764"/>
      <c r="M49" s="764"/>
    </row>
    <row r="50" spans="1:13" ht="15.75">
      <c r="A50" s="691" t="s">
        <v>598</v>
      </c>
      <c r="B50" s="692"/>
      <c r="C50" s="692"/>
      <c r="D50" s="692"/>
      <c r="E50" s="766"/>
      <c r="F50" s="471"/>
      <c r="G50" s="471"/>
      <c r="H50" s="471"/>
      <c r="I50" s="471"/>
      <c r="J50" s="471"/>
      <c r="L50" s="764"/>
      <c r="M50" s="764"/>
    </row>
    <row r="51" spans="1:13" ht="12.75">
      <c r="A51" s="693" t="s">
        <v>573</v>
      </c>
      <c r="B51" s="694" t="s">
        <v>574</v>
      </c>
      <c r="C51" s="694" t="s">
        <v>577</v>
      </c>
      <c r="D51" s="694" t="s">
        <v>574</v>
      </c>
      <c r="E51" s="768" t="s">
        <v>577</v>
      </c>
      <c r="F51" s="471"/>
      <c r="G51" s="471"/>
      <c r="H51" s="471"/>
      <c r="I51" s="471"/>
      <c r="J51" s="471"/>
      <c r="L51" s="764"/>
      <c r="M51" s="764"/>
    </row>
    <row r="52" spans="1:13" ht="12.75">
      <c r="A52" s="769"/>
      <c r="B52" s="770"/>
      <c r="C52" s="771" t="s">
        <v>555</v>
      </c>
      <c r="D52" s="771" t="s">
        <v>594</v>
      </c>
      <c r="E52" s="772" t="s">
        <v>58</v>
      </c>
      <c r="F52" s="471"/>
      <c r="G52" s="471"/>
      <c r="H52" s="471"/>
      <c r="I52" s="471"/>
      <c r="J52" s="471"/>
      <c r="L52" s="764"/>
      <c r="M52" s="764"/>
    </row>
    <row r="53" spans="1:13" ht="12.75">
      <c r="A53" s="773">
        <v>37072</v>
      </c>
      <c r="B53" s="538">
        <v>0</v>
      </c>
      <c r="C53" s="774">
        <v>0</v>
      </c>
      <c r="D53" s="775"/>
      <c r="E53" s="776"/>
      <c r="F53" s="471"/>
      <c r="G53" s="471"/>
      <c r="H53" s="471"/>
      <c r="I53" s="471"/>
      <c r="J53" s="471"/>
      <c r="L53" s="764"/>
      <c r="M53" s="764"/>
    </row>
    <row r="54" spans="1:13" ht="14.25">
      <c r="A54" s="777">
        <v>37256</v>
      </c>
      <c r="B54" s="778">
        <f>B12</f>
        <v>12333150.462078247</v>
      </c>
      <c r="C54" s="779">
        <f t="shared" ref="C54:C62" si="4">B54*$G$3/12</f>
        <v>246663.00924156493</v>
      </c>
      <c r="D54" s="538">
        <f>(B53+B54)/2</f>
        <v>6166575.2310391236</v>
      </c>
      <c r="E54" s="780">
        <f>C53+C54</f>
        <v>246663.00924156493</v>
      </c>
      <c r="F54" s="471"/>
      <c r="G54" s="471"/>
      <c r="H54" s="471"/>
      <c r="I54" s="471"/>
      <c r="J54" s="471"/>
      <c r="L54" s="764"/>
      <c r="M54" s="764"/>
    </row>
    <row r="55" spans="1:13" ht="14.25">
      <c r="A55" s="773">
        <v>37437</v>
      </c>
      <c r="B55" s="778">
        <f>B12</f>
        <v>12333150.462078247</v>
      </c>
      <c r="C55" s="779">
        <f t="shared" si="4"/>
        <v>246663.00924156493</v>
      </c>
      <c r="D55" s="538"/>
      <c r="E55" s="781"/>
      <c r="F55" s="471"/>
      <c r="G55" s="471"/>
      <c r="H55" s="471"/>
      <c r="I55" s="471"/>
      <c r="J55" s="471"/>
      <c r="L55" s="764"/>
      <c r="M55" s="764"/>
    </row>
    <row r="56" spans="1:13" ht="14.25">
      <c r="A56" s="777">
        <v>37621</v>
      </c>
      <c r="B56" s="778">
        <f>B12</f>
        <v>12333150.462078247</v>
      </c>
      <c r="C56" s="779">
        <f t="shared" si="4"/>
        <v>246663.00924156493</v>
      </c>
      <c r="D56" s="538">
        <f>(B55+B56)/2</f>
        <v>12333150.462078247</v>
      </c>
      <c r="E56" s="780">
        <f>C55+C56</f>
        <v>493326.01848312985</v>
      </c>
      <c r="F56" s="471"/>
      <c r="G56" s="471"/>
      <c r="H56" s="471"/>
      <c r="I56" s="471"/>
      <c r="J56" s="471"/>
      <c r="L56" s="764"/>
      <c r="M56" s="764"/>
    </row>
    <row r="57" spans="1:13" ht="14.25">
      <c r="A57" s="773">
        <v>37802</v>
      </c>
      <c r="B57" s="778">
        <f>B12</f>
        <v>12333150.462078247</v>
      </c>
      <c r="C57" s="779">
        <f t="shared" si="4"/>
        <v>246663.00924156493</v>
      </c>
      <c r="D57" s="538"/>
      <c r="E57" s="781"/>
      <c r="F57" s="471"/>
      <c r="G57" s="471"/>
      <c r="H57" s="471"/>
      <c r="I57" s="471"/>
      <c r="J57" s="471"/>
      <c r="L57" s="782"/>
      <c r="M57" s="783"/>
    </row>
    <row r="58" spans="1:13" ht="14.25">
      <c r="A58" s="777">
        <v>37986</v>
      </c>
      <c r="B58" s="778">
        <f>B12</f>
        <v>12333150.462078247</v>
      </c>
      <c r="C58" s="779">
        <f t="shared" si="4"/>
        <v>246663.00924156493</v>
      </c>
      <c r="D58" s="538">
        <f>(B57+B58)/2</f>
        <v>12333150.462078247</v>
      </c>
      <c r="E58" s="780">
        <f>C57+C58</f>
        <v>493326.01848312985</v>
      </c>
      <c r="F58" s="471"/>
      <c r="G58" s="471"/>
      <c r="H58" s="471"/>
      <c r="I58" s="471"/>
      <c r="J58" s="471"/>
    </row>
    <row r="59" spans="1:13" ht="14.25">
      <c r="A59" s="773">
        <v>38168</v>
      </c>
      <c r="B59" s="778">
        <f>B12</f>
        <v>12333150.462078247</v>
      </c>
      <c r="C59" s="779">
        <f t="shared" si="4"/>
        <v>246663.00924156493</v>
      </c>
      <c r="D59" s="538"/>
      <c r="E59" s="781"/>
      <c r="F59" s="471"/>
      <c r="G59" s="471"/>
      <c r="H59" s="471"/>
      <c r="I59" s="471"/>
      <c r="J59" s="471"/>
    </row>
    <row r="60" spans="1:13" ht="14.25">
      <c r="A60" s="777">
        <v>38352</v>
      </c>
      <c r="B60" s="778">
        <f>B12</f>
        <v>12333150.462078247</v>
      </c>
      <c r="C60" s="779">
        <f t="shared" si="4"/>
        <v>246663.00924156493</v>
      </c>
      <c r="D60" s="538">
        <f>(B59+B60)/2</f>
        <v>12333150.462078247</v>
      </c>
      <c r="E60" s="780">
        <f>C59+C60</f>
        <v>493326.01848312985</v>
      </c>
      <c r="F60" s="471"/>
      <c r="G60" s="471"/>
      <c r="H60" s="471"/>
      <c r="I60" s="471"/>
      <c r="J60" s="471"/>
    </row>
    <row r="61" spans="1:13" ht="14.25">
      <c r="A61" s="773">
        <v>38533</v>
      </c>
      <c r="B61" s="778">
        <f>B12</f>
        <v>12333150.462078247</v>
      </c>
      <c r="C61" s="779">
        <f t="shared" si="4"/>
        <v>246663.00924156493</v>
      </c>
      <c r="D61" s="538"/>
      <c r="E61" s="781"/>
      <c r="F61" s="471"/>
      <c r="G61" s="471"/>
      <c r="H61" s="471"/>
      <c r="I61" s="471"/>
      <c r="J61" s="471"/>
    </row>
    <row r="62" spans="1:13" ht="14.25">
      <c r="A62" s="777">
        <v>38717</v>
      </c>
      <c r="B62" s="778">
        <f>B12</f>
        <v>12333150.462078247</v>
      </c>
      <c r="C62" s="779">
        <f t="shared" si="4"/>
        <v>246663.00924156493</v>
      </c>
      <c r="D62" s="538">
        <f>(B61+B62)/2</f>
        <v>12333150.462078247</v>
      </c>
      <c r="E62" s="784">
        <f>C61+C62</f>
        <v>493326.01848312985</v>
      </c>
      <c r="F62" s="471"/>
      <c r="G62" s="471"/>
      <c r="H62" s="471"/>
      <c r="I62" s="471"/>
      <c r="J62" s="471"/>
    </row>
    <row r="63" spans="1:13" ht="14.25">
      <c r="A63" s="785"/>
      <c r="B63" s="786">
        <f>B21</f>
        <v>0</v>
      </c>
      <c r="C63" s="787"/>
      <c r="D63" s="788"/>
      <c r="E63" s="789"/>
      <c r="F63" s="471"/>
      <c r="G63" s="471"/>
      <c r="H63" s="471"/>
      <c r="I63" s="471"/>
      <c r="J63" s="471"/>
    </row>
    <row r="64" spans="1:13" ht="12.75">
      <c r="A64" s="790" t="s">
        <v>597</v>
      </c>
      <c r="B64" s="791"/>
      <c r="C64" s="792">
        <f>SUM(C54:C62)</f>
        <v>2219967.0831740843</v>
      </c>
      <c r="D64" s="793"/>
      <c r="E64" s="794">
        <f>SUM(E54:E62)</f>
        <v>2219967.0831740843</v>
      </c>
      <c r="F64" s="471"/>
      <c r="G64" s="471"/>
      <c r="H64" s="471"/>
      <c r="I64" s="471"/>
      <c r="J64" s="471"/>
    </row>
  </sheetData>
  <mergeCells count="12">
    <mergeCell ref="M41:M42"/>
    <mergeCell ref="A15:B15"/>
    <mergeCell ref="C15:D15"/>
    <mergeCell ref="C17:D17"/>
    <mergeCell ref="C16:H16"/>
    <mergeCell ref="A21:B21"/>
    <mergeCell ref="A26:B26"/>
    <mergeCell ref="A25:B25"/>
    <mergeCell ref="D24:E24"/>
    <mergeCell ref="C29:I29"/>
    <mergeCell ref="C28:G28"/>
    <mergeCell ref="L41:L42"/>
  </mergeCells>
  <hyperlinks>
    <hyperlink ref="C28" r:id="rId1" xr:uid="{00000000-0004-0000-0800-000000000000}"/>
    <hyperlink ref="C29" r:id="rId2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InfoInicial</vt:lpstr>
      <vt:lpstr>Calculos auxiliares</vt:lpstr>
      <vt:lpstr>E-Inv AF y Am</vt:lpstr>
      <vt:lpstr>E-Costos</vt:lpstr>
      <vt:lpstr>E-InvAT</vt:lpstr>
      <vt:lpstr>E-IVA </vt:lpstr>
      <vt:lpstr>E-Cal Inv.</vt:lpstr>
      <vt:lpstr>E-Form</vt:lpstr>
      <vt:lpstr>Apertura Financiera</vt:lpstr>
      <vt:lpstr>F-Cred</vt:lpstr>
      <vt:lpstr>F-CRes</vt:lpstr>
      <vt:lpstr>F-2 Estructura</vt:lpstr>
      <vt:lpstr>F-IVA</vt:lpstr>
      <vt:lpstr>F- CFyU</vt:lpstr>
      <vt:lpstr>F-Balance</vt:lpstr>
      <vt:lpstr>F-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Santiago</cp:lastModifiedBy>
  <dcterms:created xsi:type="dcterms:W3CDTF">2018-11-22T19:01:15Z</dcterms:created>
  <dcterms:modified xsi:type="dcterms:W3CDTF">2018-11-27T13:52:55Z</dcterms:modified>
</cp:coreProperties>
</file>