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andro\Desktop\UTN\Evaluacion de Proyectos\"/>
    </mc:Choice>
  </mc:AlternateContent>
  <xr:revisionPtr revIDLastSave="0" documentId="13_ncr:1_{200E443D-2769-4D72-B282-9B55D7A88C14}" xr6:coauthVersionLast="36" xr6:coauthVersionMax="36" xr10:uidLastSave="{00000000-0000-0000-0000-000000000000}"/>
  <bookViews>
    <workbookView xWindow="0" yWindow="0" windowWidth="20490" windowHeight="7695" xr2:uid="{E1F1BD5C-85FA-4435-8D98-6A301B8FE384}"/>
  </bookViews>
  <sheets>
    <sheet name="Ej 1" sheetId="2" r:id="rId1"/>
    <sheet name="Ej 2" sheetId="3" r:id="rId2"/>
    <sheet name="Ej 3" sheetId="4" r:id="rId3"/>
    <sheet name="Ej 4" sheetId="1" r:id="rId4"/>
    <sheet name="Ej 5" sheetId="5" r:id="rId5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3" i="2" l="1"/>
  <c r="H53" i="2" s="1"/>
  <c r="G52" i="2"/>
  <c r="H52" i="2" s="1"/>
  <c r="G51" i="2"/>
  <c r="H51" i="2" s="1"/>
  <c r="G59" i="2" s="1"/>
  <c r="C53" i="2"/>
  <c r="D53" i="2" s="1"/>
  <c r="F53" i="2" s="1"/>
  <c r="D44" i="2"/>
  <c r="C52" i="2" s="1"/>
  <c r="D52" i="2" s="1"/>
  <c r="F52" i="2" s="1"/>
  <c r="D43" i="2"/>
  <c r="C51" i="2" s="1"/>
  <c r="D51" i="2" s="1"/>
  <c r="F51" i="2" s="1"/>
  <c r="H3" i="2"/>
  <c r="H5" i="2"/>
  <c r="H9" i="2"/>
  <c r="J12" i="5"/>
  <c r="I12" i="5"/>
  <c r="J11" i="5"/>
  <c r="I11" i="5"/>
  <c r="J10" i="5"/>
  <c r="I10" i="5"/>
  <c r="J9" i="5"/>
  <c r="I9" i="5"/>
  <c r="J8" i="5"/>
  <c r="I8" i="5"/>
  <c r="G40" i="4"/>
  <c r="I40" i="4" s="1"/>
  <c r="G39" i="4"/>
  <c r="I39" i="4" s="1"/>
  <c r="G38" i="4"/>
  <c r="I38" i="4" s="1"/>
  <c r="G37" i="4"/>
  <c r="I37" i="4" s="1"/>
  <c r="G36" i="4"/>
  <c r="I36" i="4" s="1"/>
  <c r="G35" i="4"/>
  <c r="I35" i="4" s="1"/>
  <c r="G34" i="4"/>
  <c r="I34" i="4" s="1"/>
  <c r="G33" i="4"/>
  <c r="I33" i="4" s="1"/>
  <c r="G32" i="4"/>
  <c r="I32" i="4" s="1"/>
  <c r="G31" i="4"/>
  <c r="I31" i="4" s="1"/>
  <c r="G30" i="4"/>
  <c r="I30" i="4" s="1"/>
  <c r="J23" i="4"/>
  <c r="I23" i="4"/>
  <c r="I20" i="4"/>
  <c r="I19" i="4"/>
  <c r="I18" i="4"/>
  <c r="J17" i="4"/>
  <c r="I17" i="4"/>
  <c r="I16" i="4"/>
  <c r="H6" i="3"/>
  <c r="H7" i="3" s="1"/>
  <c r="I53" i="2" l="1"/>
  <c r="J53" i="2" s="1"/>
  <c r="I52" i="2"/>
  <c r="J52" i="2" s="1"/>
  <c r="I51" i="2"/>
  <c r="J51" i="2" s="1"/>
  <c r="G60" i="2"/>
  <c r="H60" i="2" s="1"/>
  <c r="H59" i="2"/>
  <c r="G61" i="2"/>
  <c r="H61" i="2" s="1"/>
  <c r="C45" i="2"/>
  <c r="B57" i="1" l="1"/>
  <c r="C52" i="1"/>
  <c r="G66" i="1" s="1"/>
  <c r="J66" i="1" s="1"/>
  <c r="B51" i="1"/>
  <c r="H41" i="1"/>
  <c r="J41" i="1" s="1"/>
  <c r="G60" i="1" s="1"/>
  <c r="H40" i="1"/>
  <c r="J40" i="1" s="1"/>
  <c r="G59" i="1" s="1"/>
  <c r="H39" i="1"/>
  <c r="J39" i="1" s="1"/>
  <c r="G58" i="1" s="1"/>
  <c r="H38" i="1"/>
  <c r="J38" i="1" s="1"/>
  <c r="G56" i="1" s="1"/>
  <c r="H37" i="1"/>
  <c r="J37" i="1" s="1"/>
  <c r="H36" i="1"/>
  <c r="J36" i="1" s="1"/>
  <c r="H35" i="1"/>
  <c r="J35" i="1" s="1"/>
  <c r="G54" i="1" s="1"/>
  <c r="H34" i="1"/>
  <c r="J34" i="1" s="1"/>
  <c r="G52" i="1" s="1"/>
  <c r="J52" i="1" s="1"/>
  <c r="H33" i="1"/>
  <c r="J33" i="1" s="1"/>
  <c r="G49" i="1" s="1"/>
  <c r="H32" i="1"/>
  <c r="J32" i="1" s="1"/>
  <c r="G48" i="1" s="1"/>
  <c r="H31" i="1"/>
  <c r="J31" i="1" s="1"/>
  <c r="G47" i="1" s="1"/>
  <c r="K24" i="1"/>
  <c r="J24" i="1"/>
  <c r="J21" i="1"/>
  <c r="J20" i="1"/>
  <c r="J19" i="1"/>
  <c r="K18" i="1"/>
  <c r="J18" i="1"/>
  <c r="J17" i="1"/>
  <c r="J56" i="1" l="1"/>
  <c r="C56" i="1"/>
  <c r="G68" i="1" s="1"/>
  <c r="C58" i="1"/>
  <c r="J58" i="1"/>
  <c r="J59" i="1"/>
  <c r="C59" i="1"/>
  <c r="G50" i="1"/>
  <c r="G55" i="1"/>
  <c r="C47" i="1"/>
  <c r="J47" i="1"/>
  <c r="C48" i="1"/>
  <c r="J48" i="1"/>
  <c r="J49" i="1"/>
  <c r="C49" i="1"/>
  <c r="J60" i="1"/>
  <c r="C60" i="1"/>
  <c r="J54" i="1"/>
  <c r="C54" i="1"/>
  <c r="G57" i="1"/>
  <c r="G51" i="1"/>
  <c r="G53" i="1"/>
  <c r="I66" i="1"/>
  <c r="G69" i="1" l="1"/>
  <c r="J69" i="1" s="1"/>
  <c r="G65" i="1"/>
  <c r="I65" i="1" s="1"/>
  <c r="J55" i="1"/>
  <c r="J57" i="1"/>
  <c r="C57" i="1"/>
  <c r="J50" i="1"/>
  <c r="C50" i="1"/>
  <c r="C55" i="1" s="1"/>
  <c r="G67" i="1" s="1"/>
  <c r="C53" i="1"/>
  <c r="J53" i="1"/>
  <c r="J51" i="1"/>
  <c r="C51" i="1"/>
  <c r="J68" i="1"/>
  <c r="I68" i="1"/>
  <c r="I69" i="1" l="1"/>
  <c r="J65" i="1"/>
  <c r="J67" i="1"/>
  <c r="I67" i="1"/>
</calcChain>
</file>

<file path=xl/sharedStrings.xml><?xml version="1.0" encoding="utf-8"?>
<sst xmlns="http://schemas.openxmlformats.org/spreadsheetml/2006/main" count="338" uniqueCount="130">
  <si>
    <t>CANTIDAD DE MP POR UNIDAD</t>
  </si>
  <si>
    <t>TENDEDERO 9 VARILLAS</t>
  </si>
  <si>
    <t>Patas</t>
  </si>
  <si>
    <t>Alas y mesa</t>
  </si>
  <si>
    <t>ELEMENTO 
( Cant Procesos / tendedero)</t>
  </si>
  <si>
    <t>SUBCONJUNTO</t>
  </si>
  <si>
    <t>cortes (1)</t>
  </si>
  <si>
    <t>doblado (2)</t>
  </si>
  <si>
    <t>punzonado (3)</t>
  </si>
  <si>
    <t>Tensado y cortado (4)</t>
  </si>
  <si>
    <t>doblado (5)</t>
  </si>
  <si>
    <t>soldado (6)</t>
  </si>
  <si>
    <t>ensamble Mesa y alas (7)</t>
  </si>
  <si>
    <t>remachado (8)</t>
  </si>
  <si>
    <t>ensamble final (9)</t>
  </si>
  <si>
    <r>
      <t xml:space="preserve">4 X </t>
    </r>
    <r>
      <rPr>
        <sz val="11"/>
        <color theme="1"/>
        <rFont val="Calibri"/>
        <family val="2"/>
      </rPr>
      <t>[</t>
    </r>
    <r>
      <rPr>
        <sz val="11"/>
        <color theme="1"/>
        <rFont val="Calibri"/>
        <family val="2"/>
        <scheme val="minor"/>
      </rPr>
      <t>BARRA (</t>
    </r>
    <r>
      <rPr>
        <sz val="11"/>
        <color theme="1"/>
        <rFont val="Calibri"/>
        <family val="2"/>
      </rPr>
      <t>Ø=3,5mm; L=485mm)]</t>
    </r>
  </si>
  <si>
    <t>2 X ALAS</t>
  </si>
  <si>
    <r>
      <t xml:space="preserve"> </t>
    </r>
    <r>
      <rPr>
        <sz val="11"/>
        <color theme="1"/>
        <rFont val="Calibri"/>
        <family val="2"/>
      </rPr>
      <t>[</t>
    </r>
    <r>
      <rPr>
        <sz val="11"/>
        <color theme="1"/>
        <rFont val="Calibri"/>
        <family val="2"/>
        <scheme val="minor"/>
      </rPr>
      <t>BARRA (</t>
    </r>
    <r>
      <rPr>
        <sz val="11"/>
        <color theme="1"/>
        <rFont val="Calibri"/>
        <family val="2"/>
      </rPr>
      <t>Ø=5mm; L=1500mm)]</t>
    </r>
  </si>
  <si>
    <r>
      <t xml:space="preserve">9 X </t>
    </r>
    <r>
      <rPr>
        <sz val="11"/>
        <color theme="1"/>
        <rFont val="Calibri"/>
        <family val="2"/>
      </rPr>
      <t>[</t>
    </r>
    <r>
      <rPr>
        <sz val="11"/>
        <color theme="1"/>
        <rFont val="Calibri"/>
        <family val="2"/>
        <scheme val="minor"/>
      </rPr>
      <t>BARRA (</t>
    </r>
    <r>
      <rPr>
        <sz val="11"/>
        <color theme="1"/>
        <rFont val="Calibri"/>
        <family val="2"/>
      </rPr>
      <t>Ø=3,5mm; L=1000mm)]</t>
    </r>
  </si>
  <si>
    <t>MESA</t>
  </si>
  <si>
    <r>
      <t xml:space="preserve"> </t>
    </r>
    <r>
      <rPr>
        <sz val="11"/>
        <color theme="1"/>
        <rFont val="Calibri"/>
        <family val="2"/>
      </rPr>
      <t>[</t>
    </r>
    <r>
      <rPr>
        <sz val="11"/>
        <color theme="1"/>
        <rFont val="Calibri"/>
        <family val="2"/>
        <scheme val="minor"/>
      </rPr>
      <t>BARRA (</t>
    </r>
    <r>
      <rPr>
        <sz val="11"/>
        <color theme="1"/>
        <rFont val="Calibri"/>
        <family val="2"/>
      </rPr>
      <t>Ø=5mm; L=550mm)]</t>
    </r>
  </si>
  <si>
    <r>
      <t xml:space="preserve">3 X </t>
    </r>
    <r>
      <rPr>
        <sz val="11"/>
        <color theme="1"/>
        <rFont val="Calibri"/>
        <family val="2"/>
      </rPr>
      <t>[</t>
    </r>
    <r>
      <rPr>
        <sz val="11"/>
        <color theme="1"/>
        <rFont val="Calibri"/>
        <family val="2"/>
        <scheme val="minor"/>
      </rPr>
      <t>BARRA (</t>
    </r>
    <r>
      <rPr>
        <sz val="11"/>
        <color theme="1"/>
        <rFont val="Calibri"/>
        <family val="2"/>
      </rPr>
      <t>Ø=5mm; L=505,9mm)]</t>
    </r>
  </si>
  <si>
    <t>[CAÑO ACERO ( 5/8”; L=2686)]</t>
  </si>
  <si>
    <t>PATA CORTA</t>
  </si>
  <si>
    <t>[CAÑO ACERO ( 5/8”; L=2920)]</t>
  </si>
  <si>
    <t>PATA LARGA</t>
  </si>
  <si>
    <r>
      <t xml:space="preserve"> </t>
    </r>
    <r>
      <rPr>
        <sz val="11"/>
        <color theme="1"/>
        <rFont val="Calibri"/>
        <family val="2"/>
      </rPr>
      <t>[</t>
    </r>
    <r>
      <rPr>
        <sz val="11"/>
        <color theme="1"/>
        <rFont val="Calibri"/>
        <family val="2"/>
        <scheme val="minor"/>
      </rPr>
      <t>BARRA (</t>
    </r>
    <r>
      <rPr>
        <sz val="11"/>
        <color theme="1"/>
        <rFont val="Calibri"/>
        <family val="2"/>
      </rPr>
      <t>Ø=5mm; L=556mm)]</t>
    </r>
  </si>
  <si>
    <t>MANIJA</t>
  </si>
  <si>
    <t>ELEMENTOS 
(Unidades / hora)</t>
  </si>
  <si>
    <t>Expresado en componentes necesarios para hacer un tendedero</t>
  </si>
  <si>
    <t>Cap teorica/h</t>
  </si>
  <si>
    <t>Hs Activas/año</t>
  </si>
  <si>
    <t>Cap teorica/año</t>
  </si>
  <si>
    <t>CO</t>
  </si>
  <si>
    <t>Cap real/año</t>
  </si>
  <si>
    <t>Secciones</t>
  </si>
  <si>
    <t>Unidades</t>
  </si>
  <si>
    <t>Hs</t>
  </si>
  <si>
    <t>%</t>
  </si>
  <si>
    <t>cortes - Patas larga y corta (1)</t>
  </si>
  <si>
    <t>doblado  - Patas larga y corta (2)</t>
  </si>
  <si>
    <t>punzonado  - Patas larga y corta (3)</t>
  </si>
  <si>
    <t>Tensado y cortado varillas totales (4)</t>
  </si>
  <si>
    <t>Doblado Alas (5)</t>
  </si>
  <si>
    <t>doblado Manija (5)</t>
  </si>
  <si>
    <t>soldado Alas (6)</t>
  </si>
  <si>
    <t>soldado Mesa (6)</t>
  </si>
  <si>
    <t>remachado subconjunto patas (8)</t>
  </si>
  <si>
    <t>Programa anual</t>
  </si>
  <si>
    <t>Cap real maq/año</t>
  </si>
  <si>
    <t>Cant maq necesarias</t>
  </si>
  <si>
    <t>Cap real Seccion/año</t>
  </si>
  <si>
    <t>Aprovechamiento Seccional</t>
  </si>
  <si>
    <t>Dedicacion x año</t>
  </si>
  <si>
    <t>Op A</t>
  </si>
  <si>
    <t>Op B</t>
  </si>
  <si>
    <t>Sumo OP A, B Y E</t>
  </si>
  <si>
    <t>Op C</t>
  </si>
  <si>
    <t>Sumo OP A y C</t>
  </si>
  <si>
    <t>Op D</t>
  </si>
  <si>
    <t>Op E</t>
  </si>
  <si>
    <t>Cap real Op/año</t>
  </si>
  <si>
    <t>Cant Op. necesarios</t>
  </si>
  <si>
    <t>Operario</t>
  </si>
  <si>
    <t>Operario A</t>
  </si>
  <si>
    <t>Operario B</t>
  </si>
  <si>
    <t>Operario C</t>
  </si>
  <si>
    <t>Operario D</t>
  </si>
  <si>
    <t>Operario E</t>
  </si>
  <si>
    <t>Como se puede observar en el cuadro del punto cuatro, el aprovechamiento seccional más alto se encuentra en el Operario E (que ademas de ser el encargado del ensamble de todos los subconjuntos, dara soporte al puesto de soldadura). Por ende, el cuello de botella se encuentra en esta sección.</t>
  </si>
  <si>
    <t>Si el plan anual de producción es la capacidad máxima que tiene el cuello de botella (23.461), el volumen de producción en la última sección sera de 23.609 tendederos.</t>
  </si>
  <si>
    <t>Cuadro que se utilizo para calcular el punto 4 apoyandose en el cuadro 3</t>
  </si>
  <si>
    <t>Ritmo de trabajo:</t>
  </si>
  <si>
    <t>a)      Días Activos/ Añoc= 246+52-13 (x vacaciones) =285 días</t>
  </si>
  <si>
    <t>b)     Horas Activas/ Año= 285 días/año* 8 horas/día= 2.280horas/año</t>
  </si>
  <si>
    <t>Se trabaja 1 turno de 8hs - 6 dias a la semana</t>
  </si>
  <si>
    <t>Habra 15 dias de vacaciones</t>
  </si>
  <si>
    <t>15 Dias feriados; 246 Dias laborables; 52 semanas --&gt; 52 Sabados</t>
  </si>
  <si>
    <t>ELEMNTO</t>
  </si>
  <si>
    <t>MP</t>
  </si>
  <si>
    <t>[BARRA (Ø=3,5mm; L=12914mm)]</t>
  </si>
  <si>
    <t xml:space="preserve"> [BARRA (Ø=5mm; L=5637,7mm)]</t>
  </si>
  <si>
    <t>[CAÑO ACERO ( 5/8”; L=5608)]</t>
  </si>
  <si>
    <t>4 X [ARANLOCK (Ø=5mm)]</t>
  </si>
  <si>
    <t>4 X [REGATON ( 5/8”)]</t>
  </si>
  <si>
    <t>PATAS</t>
  </si>
  <si>
    <r>
      <t xml:space="preserve">BOLSA HDPE  (65 x 139cm; 50 </t>
    </r>
    <r>
      <rPr>
        <sz val="11"/>
        <color theme="1"/>
        <rFont val="Calibri"/>
        <family val="2"/>
      </rPr>
      <t>µm)</t>
    </r>
  </si>
  <si>
    <t>ENVOLTORIO</t>
  </si>
  <si>
    <t>ENVOLTORIO PACK 6 UNIDADES</t>
  </si>
  <si>
    <t>CAJA CARTON (110 cm x 40 cm x 60)</t>
  </si>
  <si>
    <t xml:space="preserve">FILM HDPE </t>
  </si>
  <si>
    <t>ELEMENTOS PATA LARGA</t>
  </si>
  <si>
    <t>ELEMENTOS PATA CORTA</t>
  </si>
  <si>
    <t>ELEMENTOS MESA</t>
  </si>
  <si>
    <t>ELEMENTOS MANIJA</t>
  </si>
  <si>
    <t>ELEMENTOS ALAS x 2</t>
  </si>
  <si>
    <t>CALCULO</t>
  </si>
  <si>
    <t>SIN CORTE</t>
  </si>
  <si>
    <t>550+3*505,9+556+2*1500+6*2 (mm x corte)</t>
  </si>
  <si>
    <t>2920+2686+1*2 (mm x corte)</t>
  </si>
  <si>
    <t>2*4*485+9*1000+13*2 (mm x corte</t>
  </si>
  <si>
    <t>Por rollo de 3,5 mm salen las varillas necesarias para 102 tendederos.</t>
  </si>
  <si>
    <t>Por rollo de 5 mm salen las varillas necesarias para 114 tendederos.</t>
  </si>
  <si>
    <t>Por caño de 6m de largo sale 1 tendedero (se cortan 2 patas largas o 2 patas cortas).</t>
  </si>
  <si>
    <t>Por tender se utilizan 4 aranlocks, 4 regatones y 2 remaches.</t>
  </si>
  <si>
    <t>CUANTO RINDEN LOS ROLLOS/CAÑOS</t>
  </si>
  <si>
    <t>LARGO</t>
  </si>
  <si>
    <t xml:space="preserve">CALCULO (DENSIDAD=PESO/SECCION*LARGO) </t>
  </si>
  <si>
    <t>X UNIDAD (m)</t>
  </si>
  <si>
    <t>CANTIDAD TENDEDEROS</t>
  </si>
  <si>
    <t>DENSIDAD (Kg/m3)</t>
  </si>
  <si>
    <t>SECCION (m2)</t>
  </si>
  <si>
    <t>PESO (Kg)</t>
  </si>
  <si>
    <t>LARGO (m)</t>
  </si>
  <si>
    <r>
      <t xml:space="preserve"> [ROLLO (</t>
    </r>
    <r>
      <rPr>
        <sz val="11"/>
        <color theme="1"/>
        <rFont val="Calibri"/>
        <family val="2"/>
      </rPr>
      <t>Ø=3,5mm; 100 KG]</t>
    </r>
  </si>
  <si>
    <t>∏*(0,00175)^2</t>
  </si>
  <si>
    <t xml:space="preserve"> [ROLLO (Ø=3,5mm; 100 KG]</t>
  </si>
  <si>
    <t>∏*(0,0025)^2</t>
  </si>
  <si>
    <t>[CAÑO ACERO ( 5/8”; L=6m)]</t>
  </si>
  <si>
    <t>DESPERDICIO</t>
  </si>
  <si>
    <t>CANTIDAD DE MP</t>
  </si>
  <si>
    <t>ELEMENTO</t>
  </si>
  <si>
    <t>TENDEDEROS</t>
  </si>
  <si>
    <t>22600 UNIDADES</t>
  </si>
  <si>
    <t xml:space="preserve">LARGO TOTAL(QxL) </t>
  </si>
  <si>
    <t>USO UNITARIO</t>
  </si>
  <si>
    <t>USO TOTAL</t>
  </si>
  <si>
    <r>
      <t xml:space="preserve"> [ROLLO (</t>
    </r>
    <r>
      <rPr>
        <sz val="11"/>
        <color theme="1"/>
        <rFont val="Calibri"/>
        <family val="2"/>
      </rPr>
      <t>Ø=5mm; 100 KG]</t>
    </r>
  </si>
  <si>
    <t>PESO BRUTO(tn)</t>
  </si>
  <si>
    <t>PESO NETO (tn)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</si>
</sst>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0.000"/>
    <numFmt numFmtId="167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0" fillId="2" borderId="0" xfId="0" applyFill="1" applyAlignment="1">
      <alignment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" fontId="0" fillId="4" borderId="10" xfId="0" applyNumberFormat="1" applyFill="1" applyBorder="1" applyAlignment="1">
      <alignment horizontal="center" vertical="center"/>
    </xf>
    <xf numFmtId="1" fontId="0" fillId="4" borderId="11" xfId="0" applyNumberFormat="1" applyFill="1" applyBorder="1" applyAlignment="1">
      <alignment horizontal="center" vertical="center"/>
    </xf>
    <xf numFmtId="1" fontId="0" fillId="4" borderId="10" xfId="0" applyNumberFormat="1" applyFill="1" applyBorder="1" applyAlignment="1">
      <alignment horizontal="center" vertical="center" wrapText="1"/>
    </xf>
    <xf numFmtId="1" fontId="0" fillId="4" borderId="16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" fontId="0" fillId="2" borderId="4" xfId="0" applyNumberForma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" fontId="0" fillId="2" borderId="21" xfId="0" applyNumberFormat="1" applyFill="1" applyBorder="1" applyAlignment="1">
      <alignment horizontal="center" vertical="center"/>
    </xf>
    <xf numFmtId="1" fontId="0" fillId="2" borderId="12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0" fillId="2" borderId="22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" fontId="0" fillId="2" borderId="27" xfId="0" applyNumberFormat="1" applyFill="1" applyBorder="1" applyAlignment="1">
      <alignment horizontal="center" vertical="center"/>
    </xf>
    <xf numFmtId="1" fontId="0" fillId="2" borderId="28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164" fontId="0" fillId="0" borderId="23" xfId="0" applyNumberFormat="1" applyBorder="1" applyAlignment="1">
      <alignment horizontal="center" vertical="center" wrapText="1"/>
    </xf>
    <xf numFmtId="164" fontId="0" fillId="0" borderId="25" xfId="0" applyNumberFormat="1" applyBorder="1" applyAlignment="1">
      <alignment horizontal="center" vertical="center" wrapText="1"/>
    </xf>
    <xf numFmtId="0" fontId="0" fillId="2" borderId="0" xfId="0" applyFill="1"/>
    <xf numFmtId="0" fontId="0" fillId="5" borderId="0" xfId="0" applyFill="1" applyAlignment="1">
      <alignment horizontal="center" vertical="center"/>
    </xf>
    <xf numFmtId="0" fontId="0" fillId="2" borderId="32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33" xfId="0" applyFill="1" applyBorder="1"/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0" fillId="2" borderId="34" xfId="0" applyFill="1" applyBorder="1"/>
    <xf numFmtId="0" fontId="0" fillId="2" borderId="6" xfId="0" applyFill="1" applyBorder="1" applyAlignment="1">
      <alignment horizontal="center" vertical="center"/>
    </xf>
    <xf numFmtId="9" fontId="0" fillId="2" borderId="8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0" fontId="0" fillId="2" borderId="35" xfId="0" applyFill="1" applyBorder="1"/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9" fontId="0" fillId="2" borderId="14" xfId="0" applyNumberFormat="1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center"/>
    </xf>
    <xf numFmtId="1" fontId="0" fillId="2" borderId="13" xfId="0" applyNumberForma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9" fontId="0" fillId="2" borderId="25" xfId="0" applyNumberFormat="1" applyFill="1" applyBorder="1" applyAlignment="1">
      <alignment horizontal="center" vertical="center"/>
    </xf>
    <xf numFmtId="1" fontId="0" fillId="2" borderId="26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165" fontId="0" fillId="2" borderId="38" xfId="0" applyNumberFormat="1" applyFill="1" applyBorder="1"/>
    <xf numFmtId="1" fontId="0" fillId="2" borderId="36" xfId="0" applyNumberFormat="1" applyFill="1" applyBorder="1"/>
    <xf numFmtId="0" fontId="0" fillId="2" borderId="37" xfId="0" applyFill="1" applyBorder="1" applyAlignment="1">
      <alignment horizontal="center" vertical="center"/>
    </xf>
    <xf numFmtId="0" fontId="0" fillId="2" borderId="32" xfId="0" applyFill="1" applyBorder="1"/>
    <xf numFmtId="1" fontId="0" fillId="2" borderId="8" xfId="0" applyNumberFormat="1" applyFill="1" applyBorder="1" applyAlignment="1">
      <alignment horizontal="center" vertical="center"/>
    </xf>
    <xf numFmtId="10" fontId="0" fillId="2" borderId="9" xfId="0" applyNumberFormat="1" applyFill="1" applyBorder="1" applyAlignment="1">
      <alignment horizontal="center" vertical="center"/>
    </xf>
    <xf numFmtId="165" fontId="0" fillId="2" borderId="39" xfId="0" applyNumberFormat="1" applyFill="1" applyBorder="1"/>
    <xf numFmtId="1" fontId="0" fillId="2" borderId="40" xfId="0" applyNumberFormat="1" applyFill="1" applyBorder="1"/>
    <xf numFmtId="0" fontId="0" fillId="2" borderId="41" xfId="0" applyFill="1" applyBorder="1" applyAlignment="1">
      <alignment horizontal="center" vertical="center"/>
    </xf>
    <xf numFmtId="1" fontId="0" fillId="2" borderId="14" xfId="0" applyNumberFormat="1" applyFill="1" applyBorder="1" applyAlignment="1">
      <alignment horizontal="center" vertical="center"/>
    </xf>
    <xf numFmtId="10" fontId="0" fillId="2" borderId="15" xfId="0" applyNumberFormat="1" applyFill="1" applyBorder="1" applyAlignment="1">
      <alignment horizontal="center" vertical="center"/>
    </xf>
    <xf numFmtId="1" fontId="0" fillId="6" borderId="40" xfId="0" applyNumberFormat="1" applyFill="1" applyBorder="1"/>
    <xf numFmtId="0" fontId="2" fillId="2" borderId="35" xfId="0" applyFont="1" applyFill="1" applyBorder="1"/>
    <xf numFmtId="0" fontId="2" fillId="2" borderId="13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0" fontId="2" fillId="2" borderId="15" xfId="0" applyNumberFormat="1" applyFont="1" applyFill="1" applyBorder="1" applyAlignment="1">
      <alignment horizontal="center" vertical="center"/>
    </xf>
    <xf numFmtId="1" fontId="0" fillId="7" borderId="20" xfId="0" applyNumberFormat="1" applyFill="1" applyBorder="1"/>
    <xf numFmtId="0" fontId="0" fillId="2" borderId="42" xfId="0" applyFill="1" applyBorder="1" applyAlignment="1">
      <alignment horizontal="center" vertical="center"/>
    </xf>
    <xf numFmtId="1" fontId="0" fillId="0" borderId="36" xfId="0" applyNumberFormat="1" applyBorder="1"/>
    <xf numFmtId="0" fontId="0" fillId="2" borderId="43" xfId="0" applyFill="1" applyBorder="1" applyAlignment="1">
      <alignment horizontal="center" vertical="center"/>
    </xf>
    <xf numFmtId="165" fontId="0" fillId="2" borderId="44" xfId="0" applyNumberFormat="1" applyFill="1" applyBorder="1"/>
    <xf numFmtId="0" fontId="0" fillId="2" borderId="45" xfId="0" applyFill="1" applyBorder="1" applyAlignment="1">
      <alignment horizontal="center" vertical="center"/>
    </xf>
    <xf numFmtId="1" fontId="0" fillId="0" borderId="40" xfId="0" applyNumberFormat="1" applyBorder="1"/>
    <xf numFmtId="0" fontId="0" fillId="2" borderId="46" xfId="0" applyFill="1" applyBorder="1" applyAlignment="1">
      <alignment horizontal="center" vertical="center"/>
    </xf>
    <xf numFmtId="1" fontId="0" fillId="6" borderId="20" xfId="0" applyNumberFormat="1" applyFill="1" applyBorder="1"/>
    <xf numFmtId="1" fontId="0" fillId="0" borderId="20" xfId="0" applyNumberFormat="1" applyBorder="1"/>
    <xf numFmtId="0" fontId="0" fillId="2" borderId="46" xfId="0" applyFill="1" applyBorder="1" applyAlignment="1">
      <alignment horizontal="center" vertical="center"/>
    </xf>
    <xf numFmtId="1" fontId="0" fillId="7" borderId="36" xfId="0" applyNumberFormat="1" applyFill="1" applyBorder="1"/>
    <xf numFmtId="1" fontId="0" fillId="2" borderId="20" xfId="0" applyNumberFormat="1" applyFill="1" applyBorder="1"/>
    <xf numFmtId="1" fontId="0" fillId="2" borderId="25" xfId="0" applyNumberFormat="1" applyFill="1" applyBorder="1" applyAlignment="1">
      <alignment horizontal="center" vertical="center"/>
    </xf>
    <xf numFmtId="10" fontId="0" fillId="2" borderId="26" xfId="0" applyNumberFormat="1" applyFill="1" applyBorder="1" applyAlignment="1">
      <alignment horizontal="center" vertical="center"/>
    </xf>
    <xf numFmtId="0" fontId="0" fillId="2" borderId="47" xfId="0" applyFill="1" applyBorder="1"/>
    <xf numFmtId="0" fontId="0" fillId="2" borderId="6" xfId="0" applyFill="1" applyBorder="1"/>
    <xf numFmtId="0" fontId="0" fillId="2" borderId="8" xfId="0" applyFill="1" applyBorder="1"/>
    <xf numFmtId="1" fontId="0" fillId="2" borderId="8" xfId="0" applyNumberFormat="1" applyFill="1" applyBorder="1"/>
    <xf numFmtId="165" fontId="0" fillId="2" borderId="9" xfId="0" applyNumberFormat="1" applyFill="1" applyBorder="1"/>
    <xf numFmtId="0" fontId="0" fillId="2" borderId="13" xfId="0" applyFill="1" applyBorder="1"/>
    <xf numFmtId="0" fontId="0" fillId="2" borderId="14" xfId="0" applyFill="1" applyBorder="1"/>
    <xf numFmtId="1" fontId="0" fillId="2" borderId="14" xfId="0" applyNumberFormat="1" applyFill="1" applyBorder="1"/>
    <xf numFmtId="165" fontId="0" fillId="2" borderId="15" xfId="0" applyNumberFormat="1" applyFill="1" applyBorder="1"/>
    <xf numFmtId="0" fontId="0" fillId="2" borderId="23" xfId="0" applyFill="1" applyBorder="1"/>
    <xf numFmtId="0" fontId="0" fillId="2" borderId="25" xfId="0" applyFill="1" applyBorder="1"/>
    <xf numFmtId="1" fontId="0" fillId="2" borderId="25" xfId="0" applyNumberFormat="1" applyFill="1" applyBorder="1"/>
    <xf numFmtId="165" fontId="0" fillId="2" borderId="26" xfId="0" applyNumberFormat="1" applyFill="1" applyBorder="1"/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164" fontId="0" fillId="2" borderId="8" xfId="0" applyNumberFormat="1" applyFill="1" applyBorder="1" applyAlignment="1">
      <alignment horizontal="center" vertical="center" wrapText="1"/>
    </xf>
    <xf numFmtId="164" fontId="0" fillId="2" borderId="18" xfId="0" applyNumberFormat="1" applyFill="1" applyBorder="1" applyAlignment="1">
      <alignment horizontal="center" vertical="center" wrapText="1"/>
    </xf>
    <xf numFmtId="164" fontId="0" fillId="2" borderId="8" xfId="0" applyNumberFormat="1" applyFill="1" applyBorder="1" applyAlignment="1">
      <alignment horizontal="center" vertical="center" wrapText="1"/>
    </xf>
    <xf numFmtId="164" fontId="0" fillId="2" borderId="9" xfId="0" applyNumberForma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/>
    </xf>
    <xf numFmtId="164" fontId="0" fillId="2" borderId="29" xfId="0" applyNumberFormat="1" applyFill="1" applyBorder="1" applyAlignment="1">
      <alignment horizontal="center" vertical="center" wrapText="1"/>
    </xf>
    <xf numFmtId="164" fontId="0" fillId="2" borderId="14" xfId="0" applyNumberFormat="1" applyFill="1" applyBorder="1" applyAlignment="1">
      <alignment horizontal="center" vertical="center" wrapText="1"/>
    </xf>
    <xf numFmtId="164" fontId="0" fillId="2" borderId="14" xfId="0" applyNumberFormat="1" applyFill="1" applyBorder="1" applyAlignment="1">
      <alignment horizontal="center" vertical="center" wrapText="1"/>
    </xf>
    <xf numFmtId="164" fontId="0" fillId="2" borderId="15" xfId="0" applyNumberFormat="1" applyFill="1" applyBorder="1" applyAlignment="1">
      <alignment horizontal="center" vertical="center" wrapText="1"/>
    </xf>
    <xf numFmtId="164" fontId="0" fillId="2" borderId="30" xfId="0" applyNumberFormat="1" applyFill="1" applyBorder="1" applyAlignment="1">
      <alignment horizontal="center" vertical="center" wrapText="1"/>
    </xf>
    <xf numFmtId="164" fontId="0" fillId="2" borderId="31" xfId="0" applyNumberFormat="1" applyFill="1" applyBorder="1" applyAlignment="1">
      <alignment horizontal="center" vertical="center" wrapText="1"/>
    </xf>
    <xf numFmtId="164" fontId="0" fillId="2" borderId="25" xfId="0" applyNumberFormat="1" applyFill="1" applyBorder="1" applyAlignment="1">
      <alignment horizontal="center" vertical="center" wrapText="1"/>
    </xf>
    <xf numFmtId="164" fontId="0" fillId="2" borderId="26" xfId="0" applyNumberForma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8" borderId="49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1" fontId="0" fillId="4" borderId="6" xfId="0" applyNumberFormat="1" applyFill="1" applyBorder="1" applyAlignment="1">
      <alignment horizontal="center" vertical="center"/>
    </xf>
    <xf numFmtId="1" fontId="0" fillId="4" borderId="8" xfId="0" applyNumberFormat="1" applyFill="1" applyBorder="1" applyAlignment="1">
      <alignment horizontal="center" vertical="center"/>
    </xf>
    <xf numFmtId="1" fontId="0" fillId="4" borderId="9" xfId="0" applyNumberFormat="1" applyFill="1" applyBorder="1" applyAlignment="1">
      <alignment horizontal="center" vertical="center"/>
    </xf>
    <xf numFmtId="1" fontId="0" fillId="4" borderId="23" xfId="0" applyNumberFormat="1" applyFill="1" applyBorder="1" applyAlignment="1">
      <alignment horizontal="center" vertical="center"/>
    </xf>
    <xf numFmtId="1" fontId="0" fillId="4" borderId="25" xfId="0" applyNumberFormat="1" applyFill="1" applyBorder="1" applyAlignment="1">
      <alignment horizontal="center" vertical="center"/>
    </xf>
    <xf numFmtId="1" fontId="0" fillId="4" borderId="26" xfId="0" applyNumberForma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0" fillId="2" borderId="51" xfId="0" applyNumberFormat="1" applyFill="1" applyBorder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1" fontId="0" fillId="2" borderId="23" xfId="0" applyNumberFormat="1" applyFill="1" applyBorder="1" applyAlignment="1">
      <alignment horizontal="center" vertical="center"/>
    </xf>
    <xf numFmtId="1" fontId="0" fillId="2" borderId="52" xfId="0" applyNumberFormat="1" applyFill="1" applyBorder="1" applyAlignment="1">
      <alignment horizontal="center" vertical="center"/>
    </xf>
    <xf numFmtId="1" fontId="0" fillId="2" borderId="53" xfId="0" applyNumberFormat="1" applyFill="1" applyBorder="1" applyAlignment="1">
      <alignment horizontal="center" vertical="center"/>
    </xf>
    <xf numFmtId="1" fontId="0" fillId="9" borderId="6" xfId="0" applyNumberFormat="1" applyFill="1" applyBorder="1" applyAlignment="1">
      <alignment horizontal="center" vertical="center"/>
    </xf>
    <xf numFmtId="1" fontId="0" fillId="9" borderId="51" xfId="0" applyNumberFormat="1" applyFill="1" applyBorder="1" applyAlignment="1">
      <alignment horizontal="center" vertical="center"/>
    </xf>
    <xf numFmtId="164" fontId="0" fillId="9" borderId="11" xfId="0" applyNumberFormat="1" applyFill="1" applyBorder="1" applyAlignment="1">
      <alignment horizontal="center" vertical="center"/>
    </xf>
    <xf numFmtId="1" fontId="0" fillId="9" borderId="19" xfId="0" applyNumberFormat="1" applyFill="1" applyBorder="1" applyAlignment="1">
      <alignment horizontal="center" vertical="center"/>
    </xf>
    <xf numFmtId="1" fontId="0" fillId="9" borderId="54" xfId="0" applyNumberFormat="1" applyFill="1" applyBorder="1" applyAlignment="1">
      <alignment horizontal="center" vertical="center"/>
    </xf>
    <xf numFmtId="164" fontId="0" fillId="9" borderId="41" xfId="0" applyNumberFormat="1" applyFill="1" applyBorder="1" applyAlignment="1">
      <alignment horizontal="center" vertical="center"/>
    </xf>
    <xf numFmtId="1" fontId="0" fillId="9" borderId="55" xfId="0" applyNumberFormat="1" applyFill="1" applyBorder="1" applyAlignment="1">
      <alignment horizontal="center" vertical="center"/>
    </xf>
    <xf numFmtId="1" fontId="0" fillId="9" borderId="12" xfId="0" applyNumberFormat="1" applyFill="1" applyBorder="1" applyAlignment="1">
      <alignment horizontal="center" vertical="center"/>
    </xf>
    <xf numFmtId="164" fontId="0" fillId="9" borderId="53" xfId="0" applyNumberFormat="1" applyFill="1" applyBorder="1" applyAlignment="1">
      <alignment horizontal="center" vertical="center"/>
    </xf>
    <xf numFmtId="1" fontId="0" fillId="2" borderId="19" xfId="0" applyNumberFormat="1" applyFill="1" applyBorder="1" applyAlignment="1">
      <alignment horizontal="center" vertical="center"/>
    </xf>
    <xf numFmtId="1" fontId="0" fillId="2" borderId="54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" fontId="0" fillId="2" borderId="56" xfId="0" applyNumberFormat="1" applyFill="1" applyBorder="1" applyAlignment="1">
      <alignment horizontal="center" vertical="center"/>
    </xf>
    <xf numFmtId="1" fontId="0" fillId="2" borderId="57" xfId="0" applyNumberFormat="1" applyFill="1" applyBorder="1" applyAlignment="1">
      <alignment horizontal="center" vertical="center"/>
    </xf>
    <xf numFmtId="164" fontId="0" fillId="2" borderId="41" xfId="0" applyNumberFormat="1" applyFill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 vertical="center"/>
    </xf>
    <xf numFmtId="1" fontId="0" fillId="9" borderId="2" xfId="0" applyNumberFormat="1" applyFill="1" applyBorder="1" applyAlignment="1">
      <alignment horizontal="center" vertical="center"/>
    </xf>
    <xf numFmtId="1" fontId="0" fillId="9" borderId="3" xfId="0" applyNumberFormat="1" applyFill="1" applyBorder="1" applyAlignment="1">
      <alignment horizontal="center" vertical="center"/>
    </xf>
    <xf numFmtId="1" fontId="0" fillId="2" borderId="31" xfId="0" applyNumberFormat="1" applyFill="1" applyBorder="1" applyAlignment="1">
      <alignment horizontal="center" vertical="center"/>
    </xf>
    <xf numFmtId="1" fontId="0" fillId="2" borderId="4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" fontId="0" fillId="3" borderId="58" xfId="0" applyNumberFormat="1" applyFill="1" applyBorder="1" applyAlignment="1">
      <alignment horizontal="center" vertical="center"/>
    </xf>
    <xf numFmtId="1" fontId="0" fillId="0" borderId="32" xfId="0" applyNumberFormat="1" applyFill="1" applyBorder="1" applyAlignment="1">
      <alignment horizontal="center" vertical="center"/>
    </xf>
    <xf numFmtId="1" fontId="0" fillId="0" borderId="35" xfId="0" applyNumberFormat="1" applyFill="1" applyBorder="1" applyAlignment="1">
      <alignment horizontal="center" vertical="center"/>
    </xf>
    <xf numFmtId="1" fontId="0" fillId="0" borderId="33" xfId="0" applyNumberFormat="1" applyFill="1" applyBorder="1" applyAlignment="1">
      <alignment horizontal="center" vertical="center"/>
    </xf>
    <xf numFmtId="1" fontId="0" fillId="0" borderId="48" xfId="0" applyNumberFormat="1" applyFill="1" applyBorder="1" applyAlignment="1">
      <alignment horizontal="center" vertical="center"/>
    </xf>
    <xf numFmtId="1" fontId="0" fillId="2" borderId="53" xfId="0" applyNumberFormat="1" applyFill="1" applyBorder="1" applyAlignment="1">
      <alignment horizontal="center" vertical="center"/>
    </xf>
    <xf numFmtId="1" fontId="0" fillId="4" borderId="48" xfId="0" applyNumberFormat="1" applyFill="1" applyBorder="1" applyAlignment="1">
      <alignment horizontal="center" vertical="center"/>
    </xf>
    <xf numFmtId="0" fontId="0" fillId="4" borderId="48" xfId="0" applyFill="1" applyBorder="1"/>
    <xf numFmtId="1" fontId="0" fillId="2" borderId="58" xfId="0" applyNumberFormat="1" applyFill="1" applyBorder="1" applyAlignment="1">
      <alignment horizontal="center" vertical="center"/>
    </xf>
    <xf numFmtId="1" fontId="0" fillId="2" borderId="59" xfId="0" applyNumberFormat="1" applyFill="1" applyBorder="1" applyAlignment="1">
      <alignment horizontal="center" vertical="center"/>
    </xf>
    <xf numFmtId="164" fontId="0" fillId="9" borderId="58" xfId="0" applyNumberFormat="1" applyFill="1" applyBorder="1" applyAlignment="1">
      <alignment horizontal="center" vertical="center"/>
    </xf>
    <xf numFmtId="164" fontId="0" fillId="9" borderId="60" xfId="0" applyNumberFormat="1" applyFill="1" applyBorder="1" applyAlignment="1">
      <alignment horizontal="center" vertical="center"/>
    </xf>
    <xf numFmtId="164" fontId="0" fillId="9" borderId="59" xfId="0" applyNumberFormat="1" applyFill="1" applyBorder="1" applyAlignment="1">
      <alignment horizontal="center" vertical="center"/>
    </xf>
    <xf numFmtId="164" fontId="0" fillId="2" borderId="58" xfId="0" applyNumberFormat="1" applyFill="1" applyBorder="1" applyAlignment="1">
      <alignment horizontal="center" vertical="center"/>
    </xf>
    <xf numFmtId="164" fontId="0" fillId="2" borderId="59" xfId="0" applyNumberFormat="1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9" borderId="58" xfId="0" applyFill="1" applyBorder="1" applyAlignment="1">
      <alignment horizontal="center" vertical="center"/>
    </xf>
    <xf numFmtId="0" fontId="0" fillId="9" borderId="60" xfId="0" applyFill="1" applyBorder="1" applyAlignment="1">
      <alignment horizontal="center" vertical="center"/>
    </xf>
    <xf numFmtId="0" fontId="0" fillId="9" borderId="59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/>
    </xf>
    <xf numFmtId="1" fontId="0" fillId="4" borderId="51" xfId="0" applyNumberFormat="1" applyFill="1" applyBorder="1" applyAlignment="1">
      <alignment horizontal="center" vertical="center"/>
    </xf>
    <xf numFmtId="1" fontId="0" fillId="4" borderId="27" xfId="0" applyNumberFormat="1" applyFill="1" applyBorder="1" applyAlignment="1">
      <alignment horizontal="center" vertical="center"/>
    </xf>
    <xf numFmtId="1" fontId="0" fillId="4" borderId="28" xfId="0" applyNumberFormat="1" applyFill="1" applyBorder="1" applyAlignment="1">
      <alignment horizontal="center" vertical="center"/>
    </xf>
    <xf numFmtId="1" fontId="0" fillId="4" borderId="49" xfId="0" applyNumberFormat="1" applyFill="1" applyBorder="1" applyAlignment="1">
      <alignment horizontal="center" vertical="center"/>
    </xf>
    <xf numFmtId="0" fontId="0" fillId="2" borderId="0" xfId="0" applyFill="1" applyBorder="1"/>
    <xf numFmtId="1" fontId="0" fillId="4" borderId="52" xfId="0" applyNumberFormat="1" applyFill="1" applyBorder="1" applyAlignment="1">
      <alignment horizontal="center" vertical="center"/>
    </xf>
    <xf numFmtId="166" fontId="0" fillId="2" borderId="12" xfId="0" applyNumberFormat="1" applyFill="1" applyBorder="1" applyAlignment="1">
      <alignment horizontal="center" vertical="center"/>
    </xf>
    <xf numFmtId="2" fontId="0" fillId="2" borderId="53" xfId="0" applyNumberFormat="1" applyFill="1" applyBorder="1" applyAlignment="1">
      <alignment horizontal="center" vertical="center"/>
    </xf>
    <xf numFmtId="1" fontId="0" fillId="2" borderId="48" xfId="0" applyNumberFormat="1" applyFill="1" applyBorder="1" applyAlignment="1">
      <alignment horizontal="center" vertical="center"/>
    </xf>
    <xf numFmtId="1" fontId="3" fillId="2" borderId="48" xfId="0" applyNumberFormat="1" applyFont="1" applyFill="1" applyBorder="1" applyAlignment="1">
      <alignment horizontal="center" vertical="center"/>
    </xf>
    <xf numFmtId="2" fontId="0" fillId="2" borderId="48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167" fontId="0" fillId="2" borderId="12" xfId="0" applyNumberFormat="1" applyFill="1" applyBorder="1" applyAlignment="1">
      <alignment horizontal="center" vertical="center"/>
    </xf>
    <xf numFmtId="1" fontId="0" fillId="9" borderId="48" xfId="0" applyNumberFormat="1" applyFill="1" applyBorder="1" applyAlignment="1">
      <alignment horizontal="center" vertical="center"/>
    </xf>
    <xf numFmtId="1" fontId="3" fillId="9" borderId="48" xfId="0" applyNumberFormat="1" applyFont="1" applyFill="1" applyBorder="1" applyAlignment="1">
      <alignment horizontal="center" vertical="center"/>
    </xf>
    <xf numFmtId="2" fontId="0" fillId="9" borderId="48" xfId="0" applyNumberFormat="1" applyFill="1" applyBorder="1" applyAlignment="1">
      <alignment horizontal="center" vertical="center"/>
    </xf>
    <xf numFmtId="1" fontId="0" fillId="2" borderId="55" xfId="0" applyNumberFormat="1" applyFill="1" applyBorder="1" applyAlignment="1">
      <alignment horizontal="center" vertical="center"/>
    </xf>
    <xf numFmtId="2" fontId="3" fillId="2" borderId="48" xfId="0" applyNumberFormat="1" applyFont="1" applyFill="1" applyBorder="1" applyAlignment="1">
      <alignment horizontal="center" vertical="center"/>
    </xf>
    <xf numFmtId="10" fontId="0" fillId="2" borderId="48" xfId="1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/>
    <xf numFmtId="1" fontId="0" fillId="2" borderId="0" xfId="0" applyNumberFormat="1" applyFill="1" applyBorder="1" applyAlignment="1">
      <alignment vertical="center"/>
    </xf>
    <xf numFmtId="10" fontId="0" fillId="2" borderId="0" xfId="1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117475</xdr:colOff>
      <xdr:row>42</xdr:row>
      <xdr:rowOff>53975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BD8A902-7DC6-403A-8CDA-34B9FE7D7F8B}"/>
            </a:ext>
          </a:extLst>
        </xdr:cNvPr>
        <xdr:cNvSpPr txBox="1"/>
      </xdr:nvSpPr>
      <xdr:spPr>
        <a:xfrm>
          <a:off x="9156700" y="2187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43</xdr:row>
      <xdr:rowOff>53975</xdr:rowOff>
    </xdr:from>
    <xdr:ext cx="65" cy="172227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40BAB0-9330-47CD-BF06-110703367992}"/>
            </a:ext>
          </a:extLst>
        </xdr:cNvPr>
        <xdr:cNvSpPr txBox="1"/>
      </xdr:nvSpPr>
      <xdr:spPr>
        <a:xfrm>
          <a:off x="9156700" y="2387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44</xdr:row>
      <xdr:rowOff>53975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45FA4FE-7B01-40DF-9700-696F05849A36}"/>
            </a:ext>
          </a:extLst>
        </xdr:cNvPr>
        <xdr:cNvSpPr txBox="1"/>
      </xdr:nvSpPr>
      <xdr:spPr>
        <a:xfrm>
          <a:off x="9156700" y="2587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44</xdr:row>
      <xdr:rowOff>53975</xdr:rowOff>
    </xdr:from>
    <xdr:ext cx="65" cy="172227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D8D6AF5-DC0E-4909-9048-5A58C8ACEE8C}"/>
            </a:ext>
          </a:extLst>
        </xdr:cNvPr>
        <xdr:cNvSpPr txBox="1"/>
      </xdr:nvSpPr>
      <xdr:spPr>
        <a:xfrm>
          <a:off x="9156700" y="2587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51</xdr:row>
      <xdr:rowOff>53975</xdr:rowOff>
    </xdr:from>
    <xdr:ext cx="65" cy="172227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CEF1EBDE-5CE9-4932-A45E-207B05755FF0}"/>
            </a:ext>
          </a:extLst>
        </xdr:cNvPr>
        <xdr:cNvSpPr txBox="1"/>
      </xdr:nvSpPr>
      <xdr:spPr>
        <a:xfrm>
          <a:off x="9156700" y="3978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52</xdr:row>
      <xdr:rowOff>53975</xdr:rowOff>
    </xdr:from>
    <xdr:ext cx="65" cy="172227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A8AB47FD-CD52-4DD9-89A1-459FA614DCB6}"/>
            </a:ext>
          </a:extLst>
        </xdr:cNvPr>
        <xdr:cNvSpPr txBox="1"/>
      </xdr:nvSpPr>
      <xdr:spPr>
        <a:xfrm>
          <a:off x="9156700" y="4178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53</xdr:row>
      <xdr:rowOff>53975</xdr:rowOff>
    </xdr:from>
    <xdr:ext cx="65" cy="172227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1E5FEC5E-85FF-477E-84A5-2C8639498F0D}"/>
            </a:ext>
          </a:extLst>
        </xdr:cNvPr>
        <xdr:cNvSpPr txBox="1"/>
      </xdr:nvSpPr>
      <xdr:spPr>
        <a:xfrm>
          <a:off x="9156700" y="4378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53</xdr:row>
      <xdr:rowOff>53975</xdr:rowOff>
    </xdr:from>
    <xdr:ext cx="65" cy="172227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EAB073FD-C29D-4D53-B60A-39760BB7BF46}"/>
            </a:ext>
          </a:extLst>
        </xdr:cNvPr>
        <xdr:cNvSpPr txBox="1"/>
      </xdr:nvSpPr>
      <xdr:spPr>
        <a:xfrm>
          <a:off x="9156700" y="4378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50</xdr:row>
      <xdr:rowOff>53975</xdr:rowOff>
    </xdr:from>
    <xdr:ext cx="65" cy="172227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D9913586-EAD5-40EB-8207-075C2CA246F3}"/>
            </a:ext>
          </a:extLst>
        </xdr:cNvPr>
        <xdr:cNvSpPr txBox="1"/>
      </xdr:nvSpPr>
      <xdr:spPr>
        <a:xfrm>
          <a:off x="9156700" y="377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51</xdr:row>
      <xdr:rowOff>53975</xdr:rowOff>
    </xdr:from>
    <xdr:ext cx="65" cy="172227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4FCA50EC-0B04-45A0-A3E0-2C7A569116FF}"/>
            </a:ext>
          </a:extLst>
        </xdr:cNvPr>
        <xdr:cNvSpPr txBox="1"/>
      </xdr:nvSpPr>
      <xdr:spPr>
        <a:xfrm>
          <a:off x="9156700" y="3978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50</xdr:row>
      <xdr:rowOff>53975</xdr:rowOff>
    </xdr:from>
    <xdr:ext cx="65" cy="172227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9F642163-1CA2-4961-A625-BBD4FE66C084}"/>
            </a:ext>
          </a:extLst>
        </xdr:cNvPr>
        <xdr:cNvSpPr txBox="1"/>
      </xdr:nvSpPr>
      <xdr:spPr>
        <a:xfrm>
          <a:off x="9156700" y="377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51</xdr:row>
      <xdr:rowOff>53975</xdr:rowOff>
    </xdr:from>
    <xdr:ext cx="65" cy="172227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BD18DB1A-07D5-4EE9-AB67-EB5E51F64D55}"/>
            </a:ext>
          </a:extLst>
        </xdr:cNvPr>
        <xdr:cNvSpPr txBox="1"/>
      </xdr:nvSpPr>
      <xdr:spPr>
        <a:xfrm>
          <a:off x="9156700" y="3978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49</xdr:row>
      <xdr:rowOff>53975</xdr:rowOff>
    </xdr:from>
    <xdr:ext cx="65" cy="172227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FFAF2E55-3669-44D2-BE69-58A44BD754DF}"/>
            </a:ext>
          </a:extLst>
        </xdr:cNvPr>
        <xdr:cNvSpPr txBox="1"/>
      </xdr:nvSpPr>
      <xdr:spPr>
        <a:xfrm>
          <a:off x="9156700" y="3578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50</xdr:row>
      <xdr:rowOff>53975</xdr:rowOff>
    </xdr:from>
    <xdr:ext cx="65" cy="172227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5F405062-AB59-4156-A2B1-D0E49E34D54E}"/>
            </a:ext>
          </a:extLst>
        </xdr:cNvPr>
        <xdr:cNvSpPr txBox="1"/>
      </xdr:nvSpPr>
      <xdr:spPr>
        <a:xfrm>
          <a:off x="9156700" y="377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59</xdr:row>
      <xdr:rowOff>53975</xdr:rowOff>
    </xdr:from>
    <xdr:ext cx="65" cy="172227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45F18ED2-E38E-4BBB-82D2-E3DA95F57B00}"/>
            </a:ext>
          </a:extLst>
        </xdr:cNvPr>
        <xdr:cNvSpPr txBox="1"/>
      </xdr:nvSpPr>
      <xdr:spPr>
        <a:xfrm>
          <a:off x="9156700" y="556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60</xdr:row>
      <xdr:rowOff>53975</xdr:rowOff>
    </xdr:from>
    <xdr:ext cx="65" cy="172227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992422D-4ABA-430D-B022-AB1A168C53AA}"/>
            </a:ext>
          </a:extLst>
        </xdr:cNvPr>
        <xdr:cNvSpPr txBox="1"/>
      </xdr:nvSpPr>
      <xdr:spPr>
        <a:xfrm>
          <a:off x="9156700" y="5768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58</xdr:row>
      <xdr:rowOff>53975</xdr:rowOff>
    </xdr:from>
    <xdr:ext cx="65" cy="172227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1749A189-E1FF-40F5-813E-BED239F326DA}"/>
            </a:ext>
          </a:extLst>
        </xdr:cNvPr>
        <xdr:cNvSpPr txBox="1"/>
      </xdr:nvSpPr>
      <xdr:spPr>
        <a:xfrm>
          <a:off x="9156700" y="5368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59</xdr:row>
      <xdr:rowOff>53975</xdr:rowOff>
    </xdr:from>
    <xdr:ext cx="65" cy="172227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E9E21D72-94DB-4B71-9E0B-048C6DF28A31}"/>
            </a:ext>
          </a:extLst>
        </xdr:cNvPr>
        <xdr:cNvSpPr txBox="1"/>
      </xdr:nvSpPr>
      <xdr:spPr>
        <a:xfrm>
          <a:off x="9156700" y="556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58</xdr:row>
      <xdr:rowOff>53975</xdr:rowOff>
    </xdr:from>
    <xdr:ext cx="65" cy="172227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78443B27-F3B9-4BDC-B4B2-DC2696E19978}"/>
            </a:ext>
          </a:extLst>
        </xdr:cNvPr>
        <xdr:cNvSpPr txBox="1"/>
      </xdr:nvSpPr>
      <xdr:spPr>
        <a:xfrm>
          <a:off x="9156700" y="5368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59</xdr:row>
      <xdr:rowOff>53975</xdr:rowOff>
    </xdr:from>
    <xdr:ext cx="65" cy="172227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8F93A2CA-29F8-4E98-8250-00C58B9F4B10}"/>
            </a:ext>
          </a:extLst>
        </xdr:cNvPr>
        <xdr:cNvSpPr txBox="1"/>
      </xdr:nvSpPr>
      <xdr:spPr>
        <a:xfrm>
          <a:off x="9156700" y="556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57</xdr:row>
      <xdr:rowOff>53975</xdr:rowOff>
    </xdr:from>
    <xdr:ext cx="65" cy="172227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55BCFC20-BC25-4597-A623-419B3944BD50}"/>
            </a:ext>
          </a:extLst>
        </xdr:cNvPr>
        <xdr:cNvSpPr txBox="1"/>
      </xdr:nvSpPr>
      <xdr:spPr>
        <a:xfrm>
          <a:off x="9156700" y="5168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  <xdr:oneCellAnchor>
    <xdr:from>
      <xdr:col>5</xdr:col>
      <xdr:colOff>117475</xdr:colOff>
      <xdr:row>58</xdr:row>
      <xdr:rowOff>53975</xdr:rowOff>
    </xdr:from>
    <xdr:ext cx="65" cy="172227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9E0F4F5E-9E19-4A53-BC85-1BAE52393B2E}"/>
            </a:ext>
          </a:extLst>
        </xdr:cNvPr>
        <xdr:cNvSpPr txBox="1"/>
      </xdr:nvSpPr>
      <xdr:spPr>
        <a:xfrm>
          <a:off x="9156700" y="5368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A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1969D-423C-4AFE-BF60-2B272BBB64C2}">
  <dimension ref="A1:W61"/>
  <sheetViews>
    <sheetView tabSelected="1" zoomScale="70" zoomScaleNormal="70" workbookViewId="0">
      <selection activeCell="G75" sqref="G75"/>
    </sheetView>
  </sheetViews>
  <sheetFormatPr baseColWidth="10" defaultRowHeight="15" x14ac:dyDescent="0.25"/>
  <cols>
    <col min="1" max="1" width="11.42578125" style="33"/>
    <col min="2" max="2" width="32.5703125" style="33" bestFit="1" customWidth="1"/>
    <col min="3" max="3" width="17.85546875" style="33" bestFit="1" customWidth="1"/>
    <col min="4" max="4" width="32.42578125" style="33" bestFit="1" customWidth="1"/>
    <col min="5" max="5" width="11.42578125" style="33"/>
    <col min="6" max="6" width="18.28515625" style="33" bestFit="1" customWidth="1"/>
    <col min="7" max="7" width="46.5703125" style="33" bestFit="1" customWidth="1"/>
    <col min="8" max="8" width="11.42578125" style="33"/>
    <col min="9" max="9" width="15.7109375" style="33" bestFit="1" customWidth="1"/>
    <col min="10" max="16384" width="11.42578125" style="33"/>
  </cols>
  <sheetData>
    <row r="1" spans="1:8" ht="15.75" thickBot="1" x14ac:dyDescent="0.3">
      <c r="A1" s="34">
        <v>1</v>
      </c>
      <c r="B1" s="2" t="s">
        <v>0</v>
      </c>
      <c r="C1" s="3"/>
      <c r="D1" s="142"/>
    </row>
    <row r="2" spans="1:8" ht="15.75" thickBot="1" x14ac:dyDescent="0.3">
      <c r="B2" s="143" t="s">
        <v>1</v>
      </c>
      <c r="C2" s="144"/>
      <c r="D2" s="145"/>
      <c r="G2" s="184" t="s">
        <v>96</v>
      </c>
      <c r="H2" s="185" t="s">
        <v>97</v>
      </c>
    </row>
    <row r="3" spans="1:8" ht="15.75" thickBot="1" x14ac:dyDescent="0.3">
      <c r="B3" s="146" t="s">
        <v>78</v>
      </c>
      <c r="C3" s="147" t="s">
        <v>5</v>
      </c>
      <c r="D3" s="148" t="s">
        <v>79</v>
      </c>
      <c r="G3" s="186" t="s">
        <v>100</v>
      </c>
      <c r="H3" s="193">
        <f>2*4*485+9*1000+13*2</f>
        <v>12906</v>
      </c>
    </row>
    <row r="4" spans="1:8" ht="15.75" thickBot="1" x14ac:dyDescent="0.3">
      <c r="B4" s="149" t="s">
        <v>15</v>
      </c>
      <c r="C4" s="150" t="s">
        <v>16</v>
      </c>
      <c r="D4" s="151" t="s">
        <v>80</v>
      </c>
      <c r="G4" s="187"/>
      <c r="H4" s="194"/>
    </row>
    <row r="5" spans="1:8" ht="15.75" thickBot="1" x14ac:dyDescent="0.3">
      <c r="B5" s="152" t="s">
        <v>18</v>
      </c>
      <c r="C5" s="153" t="s">
        <v>19</v>
      </c>
      <c r="D5" s="154"/>
      <c r="G5" s="188" t="s">
        <v>98</v>
      </c>
      <c r="H5" s="195">
        <f>550+3*505.9+556+2*1500+6*2</f>
        <v>5635.7</v>
      </c>
    </row>
    <row r="6" spans="1:8" x14ac:dyDescent="0.25">
      <c r="B6" s="155" t="s">
        <v>20</v>
      </c>
      <c r="C6" s="156" t="s">
        <v>19</v>
      </c>
      <c r="D6" s="157" t="s">
        <v>81</v>
      </c>
      <c r="G6" s="189"/>
      <c r="H6" s="196"/>
    </row>
    <row r="7" spans="1:8" x14ac:dyDescent="0.25">
      <c r="B7" s="158" t="s">
        <v>21</v>
      </c>
      <c r="C7" s="159" t="s">
        <v>19</v>
      </c>
      <c r="D7" s="160"/>
      <c r="G7" s="189"/>
      <c r="H7" s="196"/>
    </row>
    <row r="8" spans="1:8" ht="15.75" thickBot="1" x14ac:dyDescent="0.3">
      <c r="B8" s="158" t="s">
        <v>26</v>
      </c>
      <c r="C8" s="159" t="s">
        <v>27</v>
      </c>
      <c r="D8" s="160"/>
      <c r="G8" s="190"/>
      <c r="H8" s="197"/>
    </row>
    <row r="9" spans="1:8" ht="15.75" thickBot="1" x14ac:dyDescent="0.3">
      <c r="B9" s="161" t="s">
        <v>17</v>
      </c>
      <c r="C9" s="162" t="s">
        <v>16</v>
      </c>
      <c r="D9" s="163"/>
      <c r="G9" s="191" t="s">
        <v>99</v>
      </c>
      <c r="H9" s="193">
        <f>2920+2686+2</f>
        <v>5608</v>
      </c>
    </row>
    <row r="10" spans="1:8" ht="15.75" thickBot="1" x14ac:dyDescent="0.3">
      <c r="B10" s="164" t="s">
        <v>24</v>
      </c>
      <c r="C10" s="165" t="s">
        <v>25</v>
      </c>
      <c r="D10" s="166" t="s">
        <v>82</v>
      </c>
      <c r="G10" s="192"/>
      <c r="H10" s="194"/>
    </row>
    <row r="11" spans="1:8" ht="15.75" thickBot="1" x14ac:dyDescent="0.3">
      <c r="B11" s="167" t="s">
        <v>22</v>
      </c>
      <c r="C11" s="168" t="s">
        <v>23</v>
      </c>
      <c r="D11" s="169"/>
    </row>
    <row r="12" spans="1:8" ht="15.75" thickBot="1" x14ac:dyDescent="0.3">
      <c r="B12" s="170" t="s">
        <v>83</v>
      </c>
      <c r="C12" s="171" t="s">
        <v>19</v>
      </c>
      <c r="D12" s="172" t="s">
        <v>83</v>
      </c>
    </row>
    <row r="13" spans="1:8" ht="15.75" thickBot="1" x14ac:dyDescent="0.3">
      <c r="B13" s="167" t="s">
        <v>84</v>
      </c>
      <c r="C13" s="173" t="s">
        <v>85</v>
      </c>
      <c r="D13" s="174" t="s">
        <v>84</v>
      </c>
    </row>
    <row r="14" spans="1:8" ht="15.75" thickBot="1" x14ac:dyDescent="0.3">
      <c r="B14" s="170" t="s">
        <v>86</v>
      </c>
      <c r="C14" s="171" t="s">
        <v>87</v>
      </c>
      <c r="D14" s="172" t="s">
        <v>86</v>
      </c>
    </row>
    <row r="15" spans="1:8" ht="15.75" thickBot="1" x14ac:dyDescent="0.3">
      <c r="B15" s="19"/>
      <c r="C15" s="19"/>
      <c r="D15" s="19"/>
    </row>
    <row r="16" spans="1:8" ht="15.75" thickBot="1" x14ac:dyDescent="0.3">
      <c r="B16" s="2" t="s">
        <v>88</v>
      </c>
      <c r="C16" s="3"/>
      <c r="D16" s="142"/>
    </row>
    <row r="17" spans="2:4" ht="15.75" thickBot="1" x14ac:dyDescent="0.3">
      <c r="B17" s="175" t="s">
        <v>89</v>
      </c>
      <c r="C17" s="176" t="s">
        <v>87</v>
      </c>
      <c r="D17" s="177" t="s">
        <v>89</v>
      </c>
    </row>
    <row r="18" spans="2:4" ht="15.75" thickBot="1" x14ac:dyDescent="0.3">
      <c r="B18" s="175" t="s">
        <v>90</v>
      </c>
      <c r="C18" s="176" t="s">
        <v>87</v>
      </c>
      <c r="D18" s="177" t="s">
        <v>90</v>
      </c>
    </row>
    <row r="21" spans="2:4" ht="15.75" thickBot="1" x14ac:dyDescent="0.3"/>
    <row r="22" spans="2:4" ht="15.75" thickBot="1" x14ac:dyDescent="0.3">
      <c r="B22" s="178" t="s">
        <v>93</v>
      </c>
      <c r="D22" s="178" t="s">
        <v>95</v>
      </c>
    </row>
    <row r="23" spans="2:4" x14ac:dyDescent="0.25">
      <c r="B23" s="179" t="s">
        <v>18</v>
      </c>
      <c r="D23" s="179" t="s">
        <v>15</v>
      </c>
    </row>
    <row r="24" spans="2:4" ht="15.75" thickBot="1" x14ac:dyDescent="0.3">
      <c r="B24" s="180" t="s">
        <v>20</v>
      </c>
      <c r="D24" s="181" t="s">
        <v>17</v>
      </c>
    </row>
    <row r="25" spans="2:4" ht="15.75" thickBot="1" x14ac:dyDescent="0.3">
      <c r="B25" s="181" t="s">
        <v>21</v>
      </c>
    </row>
    <row r="26" spans="2:4" ht="15.75" thickBot="1" x14ac:dyDescent="0.3"/>
    <row r="27" spans="2:4" ht="15.75" thickBot="1" x14ac:dyDescent="0.3">
      <c r="B27" s="178" t="s">
        <v>94</v>
      </c>
      <c r="D27" s="178" t="s">
        <v>91</v>
      </c>
    </row>
    <row r="28" spans="2:4" ht="15.75" thickBot="1" x14ac:dyDescent="0.3">
      <c r="B28" s="182" t="s">
        <v>26</v>
      </c>
      <c r="D28" s="182" t="s">
        <v>24</v>
      </c>
    </row>
    <row r="29" spans="2:4" ht="15.75" thickBot="1" x14ac:dyDescent="0.3"/>
    <row r="30" spans="2:4" ht="15.75" thickBot="1" x14ac:dyDescent="0.3">
      <c r="D30" s="178" t="s">
        <v>92</v>
      </c>
    </row>
    <row r="31" spans="2:4" ht="15.75" thickBot="1" x14ac:dyDescent="0.3">
      <c r="D31" s="182" t="s">
        <v>22</v>
      </c>
    </row>
    <row r="33" spans="1:23" customFormat="1" x14ac:dyDescent="0.25">
      <c r="A33" s="33" t="s">
        <v>101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customFormat="1" x14ac:dyDescent="0.25">
      <c r="A34" s="33" t="s">
        <v>102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</row>
    <row r="35" spans="1:23" customFormat="1" x14ac:dyDescent="0.25">
      <c r="A35" s="33" t="s">
        <v>103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 customFormat="1" x14ac:dyDescent="0.25">
      <c r="A36" s="33" t="s">
        <v>104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</row>
    <row r="37" spans="1:23" customFormat="1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3" customFormat="1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</row>
    <row r="39" spans="1:23" customFormat="1" ht="15.75" thickBot="1" x14ac:dyDescent="0.3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</row>
    <row r="40" spans="1:23" customFormat="1" ht="15.75" thickBot="1" x14ac:dyDescent="0.3">
      <c r="A40" s="33"/>
      <c r="B40" s="2" t="s">
        <v>105</v>
      </c>
      <c r="C40" s="3"/>
      <c r="D40" s="142"/>
      <c r="E40" s="33"/>
      <c r="F40" s="134" t="s">
        <v>106</v>
      </c>
      <c r="G40" s="198"/>
      <c r="H40" s="198"/>
      <c r="I40" s="135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</row>
    <row r="41" spans="1:23" customFormat="1" ht="15.75" thickBot="1" x14ac:dyDescent="0.3">
      <c r="A41" s="33"/>
      <c r="B41" s="143" t="s">
        <v>1</v>
      </c>
      <c r="C41" s="199"/>
      <c r="D41" s="145"/>
      <c r="E41" s="33"/>
      <c r="F41" s="200" t="s">
        <v>107</v>
      </c>
      <c r="G41" s="201"/>
      <c r="H41" s="201"/>
      <c r="I41" s="202"/>
      <c r="J41" s="20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</row>
    <row r="42" spans="1:23" customFormat="1" ht="15.75" thickBot="1" x14ac:dyDescent="0.3">
      <c r="A42" s="33"/>
      <c r="B42" s="146" t="s">
        <v>78</v>
      </c>
      <c r="C42" s="204" t="s">
        <v>108</v>
      </c>
      <c r="D42" s="148" t="s">
        <v>109</v>
      </c>
      <c r="E42" s="33"/>
      <c r="F42" s="184" t="s">
        <v>110</v>
      </c>
      <c r="G42" s="184" t="s">
        <v>111</v>
      </c>
      <c r="H42" s="184" t="s">
        <v>112</v>
      </c>
      <c r="I42" s="184" t="s">
        <v>113</v>
      </c>
      <c r="J42" s="19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23" customFormat="1" ht="15.75" thickBot="1" x14ac:dyDescent="0.3">
      <c r="A43" s="33"/>
      <c r="B43" s="152" t="s">
        <v>114</v>
      </c>
      <c r="C43" s="205">
        <v>12.914</v>
      </c>
      <c r="D43" s="206">
        <f>+I43/C43</f>
        <v>102.24175313613132</v>
      </c>
      <c r="E43" s="33"/>
      <c r="F43" s="207">
        <v>7872</v>
      </c>
      <c r="G43" s="208" t="s">
        <v>115</v>
      </c>
      <c r="H43" s="207">
        <v>100</v>
      </c>
      <c r="I43" s="209">
        <v>1320.35</v>
      </c>
      <c r="J43" s="210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</row>
    <row r="44" spans="1:23" customFormat="1" ht="15.75" thickBot="1" x14ac:dyDescent="0.3">
      <c r="A44" s="33"/>
      <c r="B44" s="170" t="s">
        <v>116</v>
      </c>
      <c r="C44" s="211">
        <v>5.6376999999999997</v>
      </c>
      <c r="D44" s="206">
        <f>+I44/C44</f>
        <v>114.75779129786972</v>
      </c>
      <c r="E44" s="33"/>
      <c r="F44" s="212">
        <v>7872</v>
      </c>
      <c r="G44" s="213" t="s">
        <v>117</v>
      </c>
      <c r="H44" s="212">
        <v>100</v>
      </c>
      <c r="I44" s="214">
        <v>646.97</v>
      </c>
      <c r="J44" s="210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</row>
    <row r="45" spans="1:23" customFormat="1" ht="15.75" thickBot="1" x14ac:dyDescent="0.3">
      <c r="A45" s="33"/>
      <c r="B45" s="215" t="s">
        <v>118</v>
      </c>
      <c r="C45" s="205">
        <f>+G53</f>
        <v>5.6079999999999997</v>
      </c>
      <c r="D45" s="183">
        <v>1</v>
      </c>
      <c r="E45" s="33"/>
      <c r="F45" s="207"/>
      <c r="G45" s="208"/>
      <c r="H45" s="207"/>
      <c r="I45" s="207">
        <v>6</v>
      </c>
      <c r="J45" s="19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</row>
    <row r="46" spans="1:23" customFormat="1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</row>
    <row r="47" spans="1:23" customFormat="1" ht="15.75" thickBo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</row>
    <row r="48" spans="1:23" customFormat="1" ht="15.75" thickBot="1" x14ac:dyDescent="0.3">
      <c r="A48" s="33"/>
      <c r="B48" s="33"/>
      <c r="C48" s="33"/>
      <c r="D48" s="33"/>
      <c r="E48" s="33"/>
      <c r="F48" s="134" t="s">
        <v>119</v>
      </c>
      <c r="G48" s="198"/>
      <c r="H48" s="198"/>
      <c r="I48" s="198"/>
      <c r="J48" s="135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</row>
    <row r="49" spans="1:23" customFormat="1" ht="15.75" thickBot="1" x14ac:dyDescent="0.3">
      <c r="A49" s="33"/>
      <c r="B49" s="2" t="s">
        <v>120</v>
      </c>
      <c r="C49" s="3"/>
      <c r="D49" s="142"/>
      <c r="E49" s="33"/>
      <c r="F49" s="200" t="s">
        <v>96</v>
      </c>
      <c r="G49" s="201"/>
      <c r="H49" s="201"/>
      <c r="I49" s="201"/>
      <c r="J49" s="202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</row>
    <row r="50" spans="1:23" customFormat="1" ht="15.75" thickBot="1" x14ac:dyDescent="0.3">
      <c r="A50" s="33"/>
      <c r="B50" s="146" t="s">
        <v>121</v>
      </c>
      <c r="C50" s="204" t="s">
        <v>122</v>
      </c>
      <c r="D50" s="148" t="s">
        <v>123</v>
      </c>
      <c r="E50" s="33"/>
      <c r="F50" s="184" t="s">
        <v>124</v>
      </c>
      <c r="G50" s="184" t="s">
        <v>125</v>
      </c>
      <c r="H50" s="184" t="s">
        <v>126</v>
      </c>
      <c r="I50" s="184" t="s">
        <v>119</v>
      </c>
      <c r="J50" s="184" t="s">
        <v>38</v>
      </c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</row>
    <row r="51" spans="1:23" customFormat="1" ht="15.75" thickBot="1" x14ac:dyDescent="0.3">
      <c r="A51" s="33"/>
      <c r="B51" s="152" t="s">
        <v>127</v>
      </c>
      <c r="C51" s="183">
        <f>+D43</f>
        <v>102.24175313613132</v>
      </c>
      <c r="D51" s="183">
        <f>22600/C51</f>
        <v>221.04472299011627</v>
      </c>
      <c r="E51" s="33"/>
      <c r="F51" s="207">
        <f>+D51*I43</f>
        <v>291856.40000000002</v>
      </c>
      <c r="G51" s="216">
        <f>+H3/1000</f>
        <v>12.906000000000001</v>
      </c>
      <c r="H51" s="209">
        <f>+G51*22600</f>
        <v>291675.60000000003</v>
      </c>
      <c r="I51" s="209">
        <f>+F51-H51</f>
        <v>180.79999999998836</v>
      </c>
      <c r="J51" s="217">
        <f>+I51/F51</f>
        <v>6.1948273191880787E-4</v>
      </c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</row>
    <row r="52" spans="1:23" customFormat="1" ht="15.75" thickBot="1" x14ac:dyDescent="0.3">
      <c r="A52" s="33"/>
      <c r="B52" s="175" t="s">
        <v>116</v>
      </c>
      <c r="C52" s="183">
        <f>+D44</f>
        <v>114.75779129786972</v>
      </c>
      <c r="D52" s="183">
        <f t="shared" ref="D52:D53" si="0">22600/C52</f>
        <v>196.93651946767235</v>
      </c>
      <c r="E52" s="33"/>
      <c r="F52" s="207">
        <f>+D52*I44</f>
        <v>127412.01999999999</v>
      </c>
      <c r="G52" s="216">
        <f>+H5/1000</f>
        <v>5.6356999999999999</v>
      </c>
      <c r="H52" s="209">
        <f t="shared" ref="H52:H53" si="1">+G52*22600</f>
        <v>127366.81999999999</v>
      </c>
      <c r="I52" s="209">
        <f t="shared" ref="I52:I53" si="2">+F52-H52</f>
        <v>45.19999999999709</v>
      </c>
      <c r="J52" s="217">
        <f t="shared" ref="J52:J53" si="3">+I52/F52</f>
        <v>3.5475459850646031E-4</v>
      </c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</row>
    <row r="53" spans="1:23" customFormat="1" ht="15.75" thickBot="1" x14ac:dyDescent="0.3">
      <c r="A53" s="33"/>
      <c r="B53" s="215" t="s">
        <v>118</v>
      </c>
      <c r="C53" s="183">
        <f>+D45</f>
        <v>1</v>
      </c>
      <c r="D53" s="183">
        <f t="shared" si="0"/>
        <v>22600</v>
      </c>
      <c r="E53" s="33"/>
      <c r="F53" s="207">
        <f>+D53*6</f>
        <v>135600</v>
      </c>
      <c r="G53" s="216">
        <f>+H9/1000</f>
        <v>5.6079999999999997</v>
      </c>
      <c r="H53" s="209">
        <f t="shared" si="1"/>
        <v>126740.79999999999</v>
      </c>
      <c r="I53" s="209">
        <f t="shared" si="2"/>
        <v>8859.2000000000116</v>
      </c>
      <c r="J53" s="217">
        <f t="shared" si="3"/>
        <v>6.5333333333333424E-2</v>
      </c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</row>
    <row r="54" spans="1:23" customFormat="1" x14ac:dyDescent="0.25">
      <c r="A54" s="33"/>
      <c r="B54" s="33"/>
      <c r="C54" s="33"/>
      <c r="D54" s="33"/>
      <c r="E54" s="33"/>
      <c r="F54" s="19"/>
      <c r="G54" s="218"/>
      <c r="H54" s="19"/>
      <c r="I54" s="19"/>
      <c r="J54" s="19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</row>
    <row r="55" spans="1:23" customFormat="1" ht="15.75" thickBot="1" x14ac:dyDescent="0.3">
      <c r="A55" s="33"/>
      <c r="B55" s="33"/>
      <c r="C55" s="33"/>
      <c r="D55" s="33"/>
      <c r="E55" s="33"/>
      <c r="F55" s="203"/>
      <c r="G55" s="203"/>
      <c r="H55" s="203"/>
      <c r="I55" s="203"/>
      <c r="J55" s="20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</row>
    <row r="56" spans="1:23" customFormat="1" ht="15.75" thickBot="1" x14ac:dyDescent="0.3">
      <c r="A56" s="33"/>
      <c r="B56" s="33"/>
      <c r="C56" s="33"/>
      <c r="D56" s="33"/>
      <c r="E56" s="33"/>
      <c r="F56" s="134" t="s">
        <v>119</v>
      </c>
      <c r="G56" s="198"/>
      <c r="H56" s="198"/>
      <c r="I56" s="135"/>
      <c r="J56" s="219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</row>
    <row r="57" spans="1:23" customFormat="1" ht="15.75" thickBot="1" x14ac:dyDescent="0.3">
      <c r="A57" s="33"/>
      <c r="B57" s="33"/>
      <c r="C57" s="33"/>
      <c r="D57" s="33"/>
      <c r="E57" s="33"/>
      <c r="F57" s="200" t="s">
        <v>96</v>
      </c>
      <c r="G57" s="201"/>
      <c r="H57" s="201"/>
      <c r="I57" s="202"/>
      <c r="J57" s="220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</row>
    <row r="58" spans="1:23" customFormat="1" ht="15.75" thickBot="1" x14ac:dyDescent="0.3">
      <c r="A58" s="33"/>
      <c r="B58" s="33"/>
      <c r="C58" s="33"/>
      <c r="D58" s="33"/>
      <c r="E58" s="33"/>
      <c r="F58" s="184" t="s">
        <v>128</v>
      </c>
      <c r="G58" s="184" t="s">
        <v>129</v>
      </c>
      <c r="H58" s="184" t="s">
        <v>119</v>
      </c>
      <c r="I58" s="184" t="s">
        <v>38</v>
      </c>
      <c r="J58" s="19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</row>
    <row r="59" spans="1:23" customFormat="1" ht="15.75" thickBot="1" x14ac:dyDescent="0.3">
      <c r="A59" s="33"/>
      <c r="B59" s="33"/>
      <c r="C59" s="33"/>
      <c r="D59" s="33"/>
      <c r="E59" s="33"/>
      <c r="F59" s="209">
        <v>22.1</v>
      </c>
      <c r="G59" s="216">
        <f>+H51/F51*F59</f>
        <v>22.086309431624596</v>
      </c>
      <c r="H59" s="209">
        <f>+F59-G59</f>
        <v>1.3690568375405832E-2</v>
      </c>
      <c r="I59" s="217">
        <v>2.6328016106551824E-3</v>
      </c>
      <c r="J59" s="221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</row>
    <row r="60" spans="1:23" customFormat="1" ht="15.75" thickBot="1" x14ac:dyDescent="0.3">
      <c r="A60" s="33"/>
      <c r="B60" s="33"/>
      <c r="C60" s="33"/>
      <c r="D60" s="33"/>
      <c r="E60" s="33"/>
      <c r="F60" s="209">
        <v>19.7</v>
      </c>
      <c r="G60" s="216">
        <f t="shared" ref="G60" si="4">+H52/F52*F60</f>
        <v>19.693011334409423</v>
      </c>
      <c r="H60" s="209">
        <f t="shared" ref="H60:H61" si="5">+F60-G60</f>
        <v>6.9886655905762041E-3</v>
      </c>
      <c r="I60" s="217">
        <v>2.4832821895453363E-3</v>
      </c>
      <c r="J60" s="221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</row>
    <row r="61" spans="1:23" customFormat="1" ht="15.75" thickBot="1" x14ac:dyDescent="0.3">
      <c r="F61" s="209">
        <v>36.159999999999997</v>
      </c>
      <c r="G61" s="216">
        <f>+H53/F53*F61</f>
        <v>33.797546666666662</v>
      </c>
      <c r="H61" s="209">
        <f t="shared" si="5"/>
        <v>2.3624533333333346</v>
      </c>
      <c r="I61" s="217">
        <v>6.5666666666666734E-2</v>
      </c>
      <c r="J61" s="221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</row>
  </sheetData>
  <mergeCells count="21">
    <mergeCell ref="F56:I56"/>
    <mergeCell ref="F57:I57"/>
    <mergeCell ref="B40:D40"/>
    <mergeCell ref="F40:I40"/>
    <mergeCell ref="B41:D41"/>
    <mergeCell ref="F41:I41"/>
    <mergeCell ref="F48:J48"/>
    <mergeCell ref="B49:D49"/>
    <mergeCell ref="F49:J49"/>
    <mergeCell ref="G3:G4"/>
    <mergeCell ref="G5:G8"/>
    <mergeCell ref="G9:G10"/>
    <mergeCell ref="H3:H4"/>
    <mergeCell ref="H5:H8"/>
    <mergeCell ref="H9:H10"/>
    <mergeCell ref="B1:D1"/>
    <mergeCell ref="B2:D2"/>
    <mergeCell ref="D4:D5"/>
    <mergeCell ref="D6:D9"/>
    <mergeCell ref="D10:D11"/>
    <mergeCell ref="B16:D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C4C82-EAA0-4999-96C2-D6E66D7DFEC0}">
  <dimension ref="B1:H7"/>
  <sheetViews>
    <sheetView workbookViewId="0">
      <selection activeCell="F11" sqref="F11"/>
    </sheetView>
  </sheetViews>
  <sheetFormatPr baseColWidth="10" defaultRowHeight="15" x14ac:dyDescent="0.25"/>
  <cols>
    <col min="1" max="2" width="11.42578125" style="33"/>
    <col min="3" max="7" width="15.28515625" style="33" customWidth="1"/>
    <col min="8" max="16384" width="11.42578125" style="33"/>
  </cols>
  <sheetData>
    <row r="1" spans="2:8" ht="15.75" thickBot="1" x14ac:dyDescent="0.3"/>
    <row r="2" spans="2:8" ht="15.75" thickBot="1" x14ac:dyDescent="0.3">
      <c r="B2" s="34">
        <v>2</v>
      </c>
      <c r="C2" s="139" t="s">
        <v>72</v>
      </c>
      <c r="D2" s="140"/>
      <c r="E2" s="140"/>
      <c r="F2" s="140"/>
      <c r="G2" s="141"/>
    </row>
    <row r="3" spans="2:8" x14ac:dyDescent="0.25">
      <c r="C3" s="138" t="s">
        <v>75</v>
      </c>
      <c r="D3" s="138"/>
      <c r="E3" s="138"/>
      <c r="F3" s="138"/>
      <c r="G3" s="138"/>
    </row>
    <row r="4" spans="2:8" x14ac:dyDescent="0.25">
      <c r="C4" s="137" t="s">
        <v>76</v>
      </c>
      <c r="D4" s="137"/>
      <c r="E4" s="137"/>
      <c r="F4" s="137"/>
      <c r="G4" s="137"/>
    </row>
    <row r="5" spans="2:8" x14ac:dyDescent="0.25">
      <c r="C5" s="137" t="s">
        <v>77</v>
      </c>
      <c r="D5" s="137"/>
      <c r="E5" s="137"/>
      <c r="F5" s="137"/>
      <c r="G5" s="137"/>
    </row>
    <row r="6" spans="2:8" x14ac:dyDescent="0.25">
      <c r="C6" s="137" t="s">
        <v>73</v>
      </c>
      <c r="D6" s="137"/>
      <c r="E6" s="137"/>
      <c r="F6" s="137"/>
      <c r="G6" s="137"/>
      <c r="H6" s="136">
        <f>246+52-13</f>
        <v>285</v>
      </c>
    </row>
    <row r="7" spans="2:8" x14ac:dyDescent="0.25">
      <c r="C7" s="137" t="s">
        <v>74</v>
      </c>
      <c r="D7" s="137"/>
      <c r="E7" s="137"/>
      <c r="F7" s="137"/>
      <c r="G7" s="137"/>
      <c r="H7" s="136">
        <f>+H6*8</f>
        <v>2280</v>
      </c>
    </row>
  </sheetData>
  <mergeCells count="6">
    <mergeCell ref="C2:G2"/>
    <mergeCell ref="C3:G3"/>
    <mergeCell ref="C4:G4"/>
    <mergeCell ref="C5:G5"/>
    <mergeCell ref="C6:G6"/>
    <mergeCell ref="C7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F47F0-5B8B-473E-A394-19510D2CC982}">
  <dimension ref="C2:N40"/>
  <sheetViews>
    <sheetView topLeftCell="A13" zoomScaleNormal="100" workbookViewId="0">
      <selection activeCell="B23" sqref="B23"/>
    </sheetView>
  </sheetViews>
  <sheetFormatPr baseColWidth="10" defaultRowHeight="15" x14ac:dyDescent="0.25"/>
  <cols>
    <col min="1" max="2" width="11.42578125" style="33"/>
    <col min="3" max="3" width="7.7109375" style="33" customWidth="1"/>
    <col min="4" max="4" width="33.7109375" style="33" bestFit="1" customWidth="1"/>
    <col min="5" max="5" width="14.28515625" style="33" bestFit="1" customWidth="1"/>
    <col min="6" max="6" width="14" style="33" bestFit="1" customWidth="1"/>
    <col min="7" max="7" width="15" style="33" bestFit="1" customWidth="1"/>
    <col min="8" max="8" width="10.85546875" style="33" bestFit="1" customWidth="1"/>
    <col min="9" max="9" width="13.7109375" style="33" bestFit="1" customWidth="1"/>
    <col min="10" max="10" width="11.140625" style="33" bestFit="1" customWidth="1"/>
    <col min="11" max="11" width="10.85546875" style="33" bestFit="1" customWidth="1"/>
    <col min="12" max="12" width="11" style="33" bestFit="1" customWidth="1"/>
    <col min="13" max="13" width="10.85546875" style="33" bestFit="1" customWidth="1"/>
    <col min="14" max="14" width="9.7109375" style="33" bestFit="1" customWidth="1"/>
    <col min="15" max="16384" width="11.42578125" style="33"/>
  </cols>
  <sheetData>
    <row r="2" spans="4:14" ht="15.75" thickBot="1" x14ac:dyDescent="0.3"/>
    <row r="3" spans="4:14" ht="15.75" thickBot="1" x14ac:dyDescent="0.3">
      <c r="D3" s="134" t="s">
        <v>0</v>
      </c>
      <c r="E3" s="135"/>
    </row>
    <row r="4" spans="4:14" ht="15.75" thickBot="1" x14ac:dyDescent="0.3">
      <c r="D4" s="4" t="s">
        <v>1</v>
      </c>
      <c r="E4" s="5"/>
      <c r="F4" s="133" t="s">
        <v>2</v>
      </c>
      <c r="G4" s="133"/>
      <c r="H4" s="133"/>
      <c r="I4" s="133" t="s">
        <v>3</v>
      </c>
      <c r="J4" s="133"/>
      <c r="K4" s="133"/>
    </row>
    <row r="5" spans="4:14" ht="60.75" thickBot="1" x14ac:dyDescent="0.3">
      <c r="D5" s="6" t="s">
        <v>4</v>
      </c>
      <c r="E5" s="7" t="s">
        <v>5</v>
      </c>
      <c r="F5" s="8" t="s">
        <v>6</v>
      </c>
      <c r="G5" s="9" t="s">
        <v>7</v>
      </c>
      <c r="H5" s="9" t="s">
        <v>8</v>
      </c>
      <c r="I5" s="8" t="s">
        <v>9</v>
      </c>
      <c r="J5" s="110" t="s">
        <v>10</v>
      </c>
      <c r="K5" s="111" t="s">
        <v>11</v>
      </c>
      <c r="L5" s="111" t="s">
        <v>12</v>
      </c>
      <c r="M5" s="111" t="s">
        <v>13</v>
      </c>
      <c r="N5" s="112" t="s">
        <v>14</v>
      </c>
    </row>
    <row r="6" spans="4:14" x14ac:dyDescent="0.25">
      <c r="D6" s="10" t="s">
        <v>15</v>
      </c>
      <c r="E6" s="11" t="s">
        <v>16</v>
      </c>
      <c r="F6" s="12">
        <v>0</v>
      </c>
      <c r="G6" s="13">
        <v>0</v>
      </c>
      <c r="H6" s="13">
        <v>0</v>
      </c>
      <c r="I6" s="13">
        <v>8</v>
      </c>
      <c r="J6" s="58">
        <v>0</v>
      </c>
      <c r="K6" s="58">
        <v>16</v>
      </c>
      <c r="L6" s="113">
        <v>1</v>
      </c>
      <c r="M6" s="58">
        <v>0</v>
      </c>
      <c r="N6" s="114">
        <v>1</v>
      </c>
    </row>
    <row r="7" spans="4:14" ht="15.75" thickBot="1" x14ac:dyDescent="0.3">
      <c r="D7" s="14" t="s">
        <v>17</v>
      </c>
      <c r="E7" s="15" t="s">
        <v>16</v>
      </c>
      <c r="F7" s="16">
        <v>0</v>
      </c>
      <c r="G7" s="17">
        <v>0</v>
      </c>
      <c r="H7" s="17">
        <v>0</v>
      </c>
      <c r="I7" s="17">
        <v>2</v>
      </c>
      <c r="J7" s="115">
        <v>4</v>
      </c>
      <c r="K7" s="115">
        <v>0</v>
      </c>
      <c r="L7" s="116"/>
      <c r="M7" s="115">
        <v>0</v>
      </c>
      <c r="N7" s="117"/>
    </row>
    <row r="8" spans="4:14" x14ac:dyDescent="0.25">
      <c r="D8" s="10" t="s">
        <v>18</v>
      </c>
      <c r="E8" s="11" t="s">
        <v>19</v>
      </c>
      <c r="F8" s="16">
        <v>0</v>
      </c>
      <c r="G8" s="17">
        <v>0</v>
      </c>
      <c r="H8" s="17">
        <v>0</v>
      </c>
      <c r="I8" s="17">
        <v>9</v>
      </c>
      <c r="J8" s="115">
        <v>0</v>
      </c>
      <c r="K8" s="115">
        <v>0</v>
      </c>
      <c r="L8" s="116"/>
      <c r="M8" s="115">
        <v>0</v>
      </c>
      <c r="N8" s="117"/>
    </row>
    <row r="9" spans="4:14" x14ac:dyDescent="0.25">
      <c r="D9" s="18" t="s">
        <v>20</v>
      </c>
      <c r="E9" s="19" t="s">
        <v>19</v>
      </c>
      <c r="F9" s="16">
        <v>0</v>
      </c>
      <c r="G9" s="17">
        <v>0</v>
      </c>
      <c r="H9" s="17">
        <v>0</v>
      </c>
      <c r="I9" s="17">
        <v>1</v>
      </c>
      <c r="J9" s="115">
        <v>0</v>
      </c>
      <c r="K9" s="115">
        <v>18</v>
      </c>
      <c r="L9" s="116"/>
      <c r="M9" s="115">
        <v>0</v>
      </c>
      <c r="N9" s="117"/>
    </row>
    <row r="10" spans="4:14" ht="15.75" thickBot="1" x14ac:dyDescent="0.3">
      <c r="D10" s="14" t="s">
        <v>21</v>
      </c>
      <c r="E10" s="15" t="s">
        <v>19</v>
      </c>
      <c r="F10" s="16">
        <v>0</v>
      </c>
      <c r="G10" s="17">
        <v>0</v>
      </c>
      <c r="H10" s="17">
        <v>0</v>
      </c>
      <c r="I10" s="17">
        <v>3</v>
      </c>
      <c r="J10" s="115">
        <v>0</v>
      </c>
      <c r="K10" s="115">
        <v>54</v>
      </c>
      <c r="L10" s="116"/>
      <c r="M10" s="115">
        <v>0</v>
      </c>
      <c r="N10" s="117"/>
    </row>
    <row r="11" spans="4:14" ht="15.75" thickBot="1" x14ac:dyDescent="0.3">
      <c r="D11" s="20" t="s">
        <v>22</v>
      </c>
      <c r="E11" s="21" t="s">
        <v>23</v>
      </c>
      <c r="F11" s="22">
        <v>1</v>
      </c>
      <c r="G11" s="17">
        <v>2</v>
      </c>
      <c r="H11" s="17">
        <v>2</v>
      </c>
      <c r="I11" s="17">
        <v>0</v>
      </c>
      <c r="J11" s="115">
        <v>0</v>
      </c>
      <c r="K11" s="115">
        <v>0</v>
      </c>
      <c r="L11" s="116">
        <v>0</v>
      </c>
      <c r="M11" s="115">
        <v>1</v>
      </c>
      <c r="N11" s="117"/>
    </row>
    <row r="12" spans="4:14" ht="15.75" thickBot="1" x14ac:dyDescent="0.3">
      <c r="D12" s="14" t="s">
        <v>24</v>
      </c>
      <c r="E12" s="15" t="s">
        <v>25</v>
      </c>
      <c r="F12" s="22"/>
      <c r="G12" s="17">
        <v>2</v>
      </c>
      <c r="H12" s="17">
        <v>2</v>
      </c>
      <c r="I12" s="17">
        <v>0</v>
      </c>
      <c r="J12" s="115">
        <v>0</v>
      </c>
      <c r="K12" s="115">
        <v>0</v>
      </c>
      <c r="L12" s="116"/>
      <c r="M12" s="115">
        <v>1</v>
      </c>
      <c r="N12" s="117"/>
    </row>
    <row r="13" spans="4:14" ht="15.75" thickBot="1" x14ac:dyDescent="0.3">
      <c r="D13" s="20" t="s">
        <v>26</v>
      </c>
      <c r="E13" s="21" t="s">
        <v>27</v>
      </c>
      <c r="F13" s="23">
        <v>0</v>
      </c>
      <c r="G13" s="24">
        <v>0</v>
      </c>
      <c r="H13" s="24">
        <v>0</v>
      </c>
      <c r="I13" s="24">
        <v>1</v>
      </c>
      <c r="J13" s="118">
        <v>4</v>
      </c>
      <c r="K13" s="118">
        <v>0</v>
      </c>
      <c r="L13" s="118">
        <v>0</v>
      </c>
      <c r="M13" s="118">
        <v>0</v>
      </c>
      <c r="N13" s="119"/>
    </row>
    <row r="14" spans="4:14" ht="15.75" thickBot="1" x14ac:dyDescent="0.3"/>
    <row r="15" spans="4:14" ht="45.75" thickBot="1" x14ac:dyDescent="0.3">
      <c r="D15" s="6" t="s">
        <v>28</v>
      </c>
      <c r="E15" s="7" t="s">
        <v>5</v>
      </c>
      <c r="F15" s="25" t="s">
        <v>6</v>
      </c>
      <c r="G15" s="13" t="s">
        <v>7</v>
      </c>
      <c r="H15" s="13" t="s">
        <v>8</v>
      </c>
      <c r="I15" s="25" t="s">
        <v>9</v>
      </c>
      <c r="J15" s="57" t="s">
        <v>10</v>
      </c>
      <c r="K15" s="58" t="s">
        <v>11</v>
      </c>
      <c r="L15" s="58" t="s">
        <v>12</v>
      </c>
      <c r="M15" s="58" t="s">
        <v>13</v>
      </c>
      <c r="N15" s="59" t="s">
        <v>14</v>
      </c>
    </row>
    <row r="16" spans="4:14" x14ac:dyDescent="0.25">
      <c r="D16" s="10" t="s">
        <v>15</v>
      </c>
      <c r="E16" s="11" t="s">
        <v>16</v>
      </c>
      <c r="F16" s="26"/>
      <c r="G16" s="27"/>
      <c r="H16" s="27"/>
      <c r="I16" s="27">
        <f>3600/(12*I6)</f>
        <v>37.5</v>
      </c>
      <c r="J16" s="120"/>
      <c r="K16" s="121">
        <v>21.8</v>
      </c>
      <c r="L16" s="122">
        <v>72</v>
      </c>
      <c r="M16" s="120"/>
      <c r="N16" s="123">
        <v>30</v>
      </c>
    </row>
    <row r="17" spans="3:14" ht="15.75" thickBot="1" x14ac:dyDescent="0.3">
      <c r="D17" s="14" t="s">
        <v>17</v>
      </c>
      <c r="E17" s="15" t="s">
        <v>16</v>
      </c>
      <c r="F17" s="28"/>
      <c r="G17" s="29"/>
      <c r="H17" s="29"/>
      <c r="I17" s="29">
        <f t="shared" ref="I17:I23" si="0">3600/(12*I7)</f>
        <v>150</v>
      </c>
      <c r="J17" s="124">
        <f>120/4</f>
        <v>30</v>
      </c>
      <c r="K17" s="125"/>
      <c r="L17" s="126"/>
      <c r="M17" s="127"/>
      <c r="N17" s="128"/>
    </row>
    <row r="18" spans="3:14" x14ac:dyDescent="0.25">
      <c r="D18" s="10" t="s">
        <v>18</v>
      </c>
      <c r="E18" s="11" t="s">
        <v>19</v>
      </c>
      <c r="F18" s="28"/>
      <c r="G18" s="29"/>
      <c r="H18" s="29"/>
      <c r="I18" s="29">
        <f t="shared" si="0"/>
        <v>33.333333333333336</v>
      </c>
      <c r="J18" s="127"/>
      <c r="K18" s="129">
        <v>10.9</v>
      </c>
      <c r="L18" s="126"/>
      <c r="M18" s="127"/>
      <c r="N18" s="128"/>
    </row>
    <row r="19" spans="3:14" x14ac:dyDescent="0.25">
      <c r="D19" s="18" t="s">
        <v>20</v>
      </c>
      <c r="E19" s="19" t="s">
        <v>19</v>
      </c>
      <c r="F19" s="28"/>
      <c r="G19" s="29"/>
      <c r="H19" s="29"/>
      <c r="I19" s="29">
        <f t="shared" si="0"/>
        <v>300</v>
      </c>
      <c r="J19" s="127"/>
      <c r="K19" s="130"/>
      <c r="L19" s="126"/>
      <c r="M19" s="127"/>
      <c r="N19" s="128"/>
    </row>
    <row r="20" spans="3:14" ht="15.75" thickBot="1" x14ac:dyDescent="0.3">
      <c r="D20" s="14" t="s">
        <v>21</v>
      </c>
      <c r="E20" s="15" t="s">
        <v>19</v>
      </c>
      <c r="F20" s="28"/>
      <c r="G20" s="29"/>
      <c r="H20" s="29"/>
      <c r="I20" s="29">
        <f t="shared" si="0"/>
        <v>100</v>
      </c>
      <c r="J20" s="127"/>
      <c r="K20" s="125"/>
      <c r="L20" s="126"/>
      <c r="M20" s="127"/>
      <c r="N20" s="128"/>
    </row>
    <row r="21" spans="3:14" ht="15.75" thickBot="1" x14ac:dyDescent="0.3">
      <c r="D21" s="20" t="s">
        <v>22</v>
      </c>
      <c r="E21" s="21" t="s">
        <v>23</v>
      </c>
      <c r="F21" s="30">
        <v>80</v>
      </c>
      <c r="G21" s="29">
        <v>60</v>
      </c>
      <c r="H21" s="29">
        <v>45</v>
      </c>
      <c r="I21" s="29"/>
      <c r="J21" s="127"/>
      <c r="K21" s="127"/>
      <c r="L21" s="126"/>
      <c r="M21" s="129">
        <v>90</v>
      </c>
      <c r="N21" s="128"/>
    </row>
    <row r="22" spans="3:14" ht="15.75" thickBot="1" x14ac:dyDescent="0.3">
      <c r="D22" s="14" t="s">
        <v>24</v>
      </c>
      <c r="E22" s="15" t="s">
        <v>25</v>
      </c>
      <c r="F22" s="30"/>
      <c r="G22" s="29">
        <v>60</v>
      </c>
      <c r="H22" s="29">
        <v>45</v>
      </c>
      <c r="I22" s="29"/>
      <c r="J22" s="127"/>
      <c r="K22" s="127"/>
      <c r="L22" s="126"/>
      <c r="M22" s="125"/>
      <c r="N22" s="128"/>
    </row>
    <row r="23" spans="3:14" ht="15.75" thickBot="1" x14ac:dyDescent="0.3">
      <c r="D23" s="20" t="s">
        <v>26</v>
      </c>
      <c r="E23" s="21" t="s">
        <v>27</v>
      </c>
      <c r="F23" s="31"/>
      <c r="G23" s="32"/>
      <c r="H23" s="32"/>
      <c r="I23" s="32">
        <f t="shared" si="0"/>
        <v>300</v>
      </c>
      <c r="J23" s="131">
        <f>60/4</f>
        <v>15</v>
      </c>
      <c r="K23" s="131"/>
      <c r="L23" s="131"/>
      <c r="M23" s="131"/>
      <c r="N23" s="132"/>
    </row>
    <row r="24" spans="3:14" x14ac:dyDescent="0.25">
      <c r="I24" s="1"/>
    </row>
    <row r="25" spans="3:14" x14ac:dyDescent="0.25">
      <c r="I25" s="1"/>
    </row>
    <row r="27" spans="3:14" ht="15.75" thickBot="1" x14ac:dyDescent="0.3"/>
    <row r="28" spans="3:14" ht="30" x14ac:dyDescent="0.25">
      <c r="C28" s="34">
        <v>3</v>
      </c>
      <c r="D28" s="35" t="s">
        <v>29</v>
      </c>
      <c r="E28" s="36" t="s">
        <v>30</v>
      </c>
      <c r="F28" s="37" t="s">
        <v>31</v>
      </c>
      <c r="G28" s="37" t="s">
        <v>32</v>
      </c>
      <c r="H28" s="37" t="s">
        <v>33</v>
      </c>
      <c r="I28" s="38" t="s">
        <v>34</v>
      </c>
    </row>
    <row r="29" spans="3:14" ht="15.75" thickBot="1" x14ac:dyDescent="0.3">
      <c r="D29" s="39" t="s">
        <v>35</v>
      </c>
      <c r="E29" s="40" t="s">
        <v>36</v>
      </c>
      <c r="F29" s="41" t="s">
        <v>37</v>
      </c>
      <c r="G29" s="41" t="s">
        <v>36</v>
      </c>
      <c r="H29" s="41" t="s">
        <v>38</v>
      </c>
      <c r="I29" s="42" t="s">
        <v>36</v>
      </c>
    </row>
    <row r="30" spans="3:14" x14ac:dyDescent="0.25">
      <c r="D30" s="43" t="s">
        <v>39</v>
      </c>
      <c r="E30" s="44">
        <v>80</v>
      </c>
      <c r="F30" s="37">
        <v>2280</v>
      </c>
      <c r="G30" s="37">
        <f>+E30*F30</f>
        <v>182400</v>
      </c>
      <c r="H30" s="45">
        <v>0.95</v>
      </c>
      <c r="I30" s="46">
        <f>+G30*H30</f>
        <v>173280</v>
      </c>
    </row>
    <row r="31" spans="3:14" x14ac:dyDescent="0.25">
      <c r="D31" s="47" t="s">
        <v>40</v>
      </c>
      <c r="E31" s="48">
        <v>30</v>
      </c>
      <c r="F31" s="49">
        <v>2280</v>
      </c>
      <c r="G31" s="49">
        <f t="shared" ref="G31:G40" si="1">+E31*F31</f>
        <v>68400</v>
      </c>
      <c r="H31" s="50">
        <v>0.98</v>
      </c>
      <c r="I31" s="51">
        <f t="shared" ref="I31:I40" si="2">+G31*H31</f>
        <v>67032</v>
      </c>
    </row>
    <row r="32" spans="3:14" x14ac:dyDescent="0.25">
      <c r="D32" s="47" t="s">
        <v>41</v>
      </c>
      <c r="E32" s="48">
        <v>45</v>
      </c>
      <c r="F32" s="49">
        <v>2280</v>
      </c>
      <c r="G32" s="49">
        <f t="shared" si="1"/>
        <v>102600</v>
      </c>
      <c r="H32" s="50">
        <v>0.9</v>
      </c>
      <c r="I32" s="51">
        <f t="shared" si="2"/>
        <v>92340</v>
      </c>
    </row>
    <row r="33" spans="4:9" x14ac:dyDescent="0.25">
      <c r="D33" s="47" t="s">
        <v>42</v>
      </c>
      <c r="E33" s="48">
        <v>13</v>
      </c>
      <c r="F33" s="49">
        <v>2280</v>
      </c>
      <c r="G33" s="49">
        <f t="shared" si="1"/>
        <v>29640</v>
      </c>
      <c r="H33" s="50">
        <v>0.85</v>
      </c>
      <c r="I33" s="51">
        <f t="shared" si="2"/>
        <v>25194</v>
      </c>
    </row>
    <row r="34" spans="4:9" x14ac:dyDescent="0.25">
      <c r="D34" s="47" t="s">
        <v>43</v>
      </c>
      <c r="E34" s="48">
        <v>30</v>
      </c>
      <c r="F34" s="49">
        <v>2280</v>
      </c>
      <c r="G34" s="49">
        <f t="shared" si="1"/>
        <v>68400</v>
      </c>
      <c r="H34" s="50">
        <v>0.98</v>
      </c>
      <c r="I34" s="51">
        <f t="shared" si="2"/>
        <v>67032</v>
      </c>
    </row>
    <row r="35" spans="4:9" x14ac:dyDescent="0.25">
      <c r="D35" s="47" t="s">
        <v>44</v>
      </c>
      <c r="E35" s="48">
        <v>15</v>
      </c>
      <c r="F35" s="49">
        <v>2280</v>
      </c>
      <c r="G35" s="49">
        <f t="shared" si="1"/>
        <v>34200</v>
      </c>
      <c r="H35" s="50">
        <v>0.98</v>
      </c>
      <c r="I35" s="51">
        <f t="shared" si="2"/>
        <v>33516</v>
      </c>
    </row>
    <row r="36" spans="4:9" x14ac:dyDescent="0.25">
      <c r="D36" s="47" t="s">
        <v>45</v>
      </c>
      <c r="E36" s="52">
        <v>21.8</v>
      </c>
      <c r="F36" s="49">
        <v>2280</v>
      </c>
      <c r="G36" s="49">
        <f t="shared" si="1"/>
        <v>49704</v>
      </c>
      <c r="H36" s="50">
        <v>0.95</v>
      </c>
      <c r="I36" s="51">
        <f t="shared" si="2"/>
        <v>47218.799999999996</v>
      </c>
    </row>
    <row r="37" spans="4:9" x14ac:dyDescent="0.25">
      <c r="D37" s="47" t="s">
        <v>46</v>
      </c>
      <c r="E37" s="52">
        <v>10.9</v>
      </c>
      <c r="F37" s="49">
        <v>2280</v>
      </c>
      <c r="G37" s="49">
        <f t="shared" si="1"/>
        <v>24852</v>
      </c>
      <c r="H37" s="50">
        <v>0.95</v>
      </c>
      <c r="I37" s="51">
        <f t="shared" si="2"/>
        <v>23609.399999999998</v>
      </c>
    </row>
    <row r="38" spans="4:9" x14ac:dyDescent="0.25">
      <c r="D38" s="47" t="s">
        <v>12</v>
      </c>
      <c r="E38" s="48">
        <v>72</v>
      </c>
      <c r="F38" s="49">
        <v>2280</v>
      </c>
      <c r="G38" s="49">
        <f t="shared" si="1"/>
        <v>164160</v>
      </c>
      <c r="H38" s="50">
        <v>0.87</v>
      </c>
      <c r="I38" s="51">
        <f t="shared" si="2"/>
        <v>142819.20000000001</v>
      </c>
    </row>
    <row r="39" spans="4:9" x14ac:dyDescent="0.25">
      <c r="D39" s="47" t="s">
        <v>47</v>
      </c>
      <c r="E39" s="48">
        <v>90</v>
      </c>
      <c r="F39" s="49">
        <v>2280</v>
      </c>
      <c r="G39" s="49">
        <f t="shared" si="1"/>
        <v>205200</v>
      </c>
      <c r="H39" s="50">
        <v>0.89</v>
      </c>
      <c r="I39" s="51">
        <f t="shared" si="2"/>
        <v>182628</v>
      </c>
    </row>
    <row r="40" spans="4:9" ht="15.75" thickBot="1" x14ac:dyDescent="0.3">
      <c r="D40" s="39" t="s">
        <v>14</v>
      </c>
      <c r="E40" s="53">
        <v>30</v>
      </c>
      <c r="F40" s="54">
        <v>2280</v>
      </c>
      <c r="G40" s="54">
        <f t="shared" si="1"/>
        <v>68400</v>
      </c>
      <c r="H40" s="55">
        <v>0.98</v>
      </c>
      <c r="I40" s="56">
        <f t="shared" si="2"/>
        <v>67032</v>
      </c>
    </row>
  </sheetData>
  <mergeCells count="15">
    <mergeCell ref="K16:K17"/>
    <mergeCell ref="L16:L20"/>
    <mergeCell ref="N16:N23"/>
    <mergeCell ref="K18:K20"/>
    <mergeCell ref="F21:F22"/>
    <mergeCell ref="L21:L22"/>
    <mergeCell ref="M21:M22"/>
    <mergeCell ref="D3:E3"/>
    <mergeCell ref="D4:E4"/>
    <mergeCell ref="F4:H4"/>
    <mergeCell ref="I4:K4"/>
    <mergeCell ref="L6:L10"/>
    <mergeCell ref="N6:N13"/>
    <mergeCell ref="F11:F12"/>
    <mergeCell ref="L11:L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275D0-5637-4B4A-AB18-4CDB93E2EA9A}">
  <dimension ref="A1:S139"/>
  <sheetViews>
    <sheetView topLeftCell="A51" zoomScale="70" zoomScaleNormal="70" workbookViewId="0">
      <selection activeCell="A45" sqref="A45"/>
    </sheetView>
  </sheetViews>
  <sheetFormatPr baseColWidth="10" defaultRowHeight="15" x14ac:dyDescent="0.25"/>
  <cols>
    <col min="1" max="1" width="16.140625" bestFit="1" customWidth="1"/>
    <col min="2" max="2" width="11.140625" customWidth="1"/>
    <col min="3" max="3" width="9.28515625" bestFit="1" customWidth="1"/>
    <col min="5" max="5" width="35.7109375" bestFit="1" customWidth="1"/>
    <col min="6" max="6" width="16.85546875" bestFit="1" customWidth="1"/>
    <col min="7" max="7" width="14.7109375" bestFit="1" customWidth="1"/>
    <col min="8" max="8" width="15.7109375" bestFit="1" customWidth="1"/>
    <col min="9" max="9" width="13.42578125" customWidth="1"/>
    <col min="10" max="10" width="17.5703125" customWidth="1"/>
    <col min="11" max="15" width="12.7109375" style="33" customWidth="1"/>
    <col min="16" max="19" width="11.42578125" style="33"/>
  </cols>
  <sheetData>
    <row r="1" spans="1:15" s="33" customFormat="1" x14ac:dyDescent="0.25"/>
    <row r="2" spans="1:15" hidden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5" s="33" customFormat="1" ht="15.75" hidden="1" thickBot="1" x14ac:dyDescent="0.3"/>
    <row r="4" spans="1:15" ht="15.75" hidden="1" thickBot="1" x14ac:dyDescent="0.3">
      <c r="A4" s="33"/>
      <c r="B4" s="33"/>
      <c r="C4" s="33"/>
      <c r="D4" s="33"/>
      <c r="E4" s="134" t="s">
        <v>0</v>
      </c>
      <c r="F4" s="135"/>
      <c r="G4" s="33"/>
      <c r="H4" s="33"/>
      <c r="I4" s="33"/>
      <c r="J4" s="33"/>
    </row>
    <row r="5" spans="1:15" ht="15.75" hidden="1" thickBot="1" x14ac:dyDescent="0.3">
      <c r="A5" s="33"/>
      <c r="B5" s="33"/>
      <c r="C5" s="33"/>
      <c r="D5" s="33"/>
      <c r="E5" s="4" t="s">
        <v>1</v>
      </c>
      <c r="F5" s="5"/>
      <c r="G5" s="133" t="s">
        <v>2</v>
      </c>
      <c r="H5" s="133"/>
      <c r="I5" s="133"/>
      <c r="J5" s="133" t="s">
        <v>3</v>
      </c>
      <c r="K5" s="133"/>
      <c r="L5" s="133"/>
    </row>
    <row r="6" spans="1:15" ht="45.75" hidden="1" thickBot="1" x14ac:dyDescent="0.3">
      <c r="A6" s="33"/>
      <c r="B6" s="33"/>
      <c r="C6" s="33"/>
      <c r="D6" s="33"/>
      <c r="E6" s="6" t="s">
        <v>4</v>
      </c>
      <c r="F6" s="7" t="s">
        <v>5</v>
      </c>
      <c r="G6" s="8" t="s">
        <v>6</v>
      </c>
      <c r="H6" s="9" t="s">
        <v>7</v>
      </c>
      <c r="I6" s="9" t="s">
        <v>8</v>
      </c>
      <c r="J6" s="8" t="s">
        <v>9</v>
      </c>
      <c r="K6" s="110" t="s">
        <v>10</v>
      </c>
      <c r="L6" s="111" t="s">
        <v>11</v>
      </c>
      <c r="M6" s="111" t="s">
        <v>12</v>
      </c>
      <c r="N6" s="111" t="s">
        <v>13</v>
      </c>
      <c r="O6" s="112" t="s">
        <v>14</v>
      </c>
    </row>
    <row r="7" spans="1:15" hidden="1" x14ac:dyDescent="0.25">
      <c r="A7" s="33"/>
      <c r="B7" s="33"/>
      <c r="C7" s="33"/>
      <c r="D7" s="33"/>
      <c r="E7" s="10" t="s">
        <v>15</v>
      </c>
      <c r="F7" s="11" t="s">
        <v>16</v>
      </c>
      <c r="G7" s="12">
        <v>0</v>
      </c>
      <c r="H7" s="13">
        <v>0</v>
      </c>
      <c r="I7" s="13">
        <v>0</v>
      </c>
      <c r="J7" s="13">
        <v>8</v>
      </c>
      <c r="K7" s="58">
        <v>0</v>
      </c>
      <c r="L7" s="58">
        <v>16</v>
      </c>
      <c r="M7" s="113">
        <v>1</v>
      </c>
      <c r="N7" s="58">
        <v>0</v>
      </c>
      <c r="O7" s="114">
        <v>1</v>
      </c>
    </row>
    <row r="8" spans="1:15" ht="15.75" hidden="1" thickBot="1" x14ac:dyDescent="0.3">
      <c r="A8" s="33"/>
      <c r="B8" s="33"/>
      <c r="C8" s="33"/>
      <c r="D8" s="33"/>
      <c r="E8" s="14" t="s">
        <v>17</v>
      </c>
      <c r="F8" s="15" t="s">
        <v>16</v>
      </c>
      <c r="G8" s="16">
        <v>0</v>
      </c>
      <c r="H8" s="17">
        <v>0</v>
      </c>
      <c r="I8" s="17">
        <v>0</v>
      </c>
      <c r="J8" s="17">
        <v>2</v>
      </c>
      <c r="K8" s="115">
        <v>4</v>
      </c>
      <c r="L8" s="115">
        <v>0</v>
      </c>
      <c r="M8" s="116"/>
      <c r="N8" s="115">
        <v>0</v>
      </c>
      <c r="O8" s="117"/>
    </row>
    <row r="9" spans="1:15" hidden="1" x14ac:dyDescent="0.25">
      <c r="A9" s="33"/>
      <c r="B9" s="33"/>
      <c r="C9" s="33"/>
      <c r="D9" s="33"/>
      <c r="E9" s="10" t="s">
        <v>18</v>
      </c>
      <c r="F9" s="11" t="s">
        <v>19</v>
      </c>
      <c r="G9" s="16">
        <v>0</v>
      </c>
      <c r="H9" s="17">
        <v>0</v>
      </c>
      <c r="I9" s="17">
        <v>0</v>
      </c>
      <c r="J9" s="17">
        <v>9</v>
      </c>
      <c r="K9" s="115">
        <v>0</v>
      </c>
      <c r="L9" s="115">
        <v>0</v>
      </c>
      <c r="M9" s="116"/>
      <c r="N9" s="115">
        <v>0</v>
      </c>
      <c r="O9" s="117"/>
    </row>
    <row r="10" spans="1:15" hidden="1" x14ac:dyDescent="0.25">
      <c r="A10" s="33"/>
      <c r="B10" s="33"/>
      <c r="C10" s="33"/>
      <c r="D10" s="33"/>
      <c r="E10" s="18" t="s">
        <v>20</v>
      </c>
      <c r="F10" s="19" t="s">
        <v>19</v>
      </c>
      <c r="G10" s="16">
        <v>0</v>
      </c>
      <c r="H10" s="17">
        <v>0</v>
      </c>
      <c r="I10" s="17">
        <v>0</v>
      </c>
      <c r="J10" s="17">
        <v>1</v>
      </c>
      <c r="K10" s="115">
        <v>0</v>
      </c>
      <c r="L10" s="115">
        <v>18</v>
      </c>
      <c r="M10" s="116"/>
      <c r="N10" s="115">
        <v>0</v>
      </c>
      <c r="O10" s="117"/>
    </row>
    <row r="11" spans="1:15" ht="15.75" hidden="1" thickBot="1" x14ac:dyDescent="0.3">
      <c r="A11" s="33"/>
      <c r="B11" s="33"/>
      <c r="C11" s="33"/>
      <c r="D11" s="33"/>
      <c r="E11" s="14" t="s">
        <v>21</v>
      </c>
      <c r="F11" s="15" t="s">
        <v>19</v>
      </c>
      <c r="G11" s="16">
        <v>0</v>
      </c>
      <c r="H11" s="17">
        <v>0</v>
      </c>
      <c r="I11" s="17">
        <v>0</v>
      </c>
      <c r="J11" s="17">
        <v>3</v>
      </c>
      <c r="K11" s="115">
        <v>0</v>
      </c>
      <c r="L11" s="115">
        <v>54</v>
      </c>
      <c r="M11" s="116"/>
      <c r="N11" s="115">
        <v>0</v>
      </c>
      <c r="O11" s="117"/>
    </row>
    <row r="12" spans="1:15" ht="15.75" hidden="1" thickBot="1" x14ac:dyDescent="0.3">
      <c r="A12" s="33"/>
      <c r="B12" s="33"/>
      <c r="C12" s="33"/>
      <c r="D12" s="33"/>
      <c r="E12" s="20" t="s">
        <v>22</v>
      </c>
      <c r="F12" s="21" t="s">
        <v>23</v>
      </c>
      <c r="G12" s="22">
        <v>1</v>
      </c>
      <c r="H12" s="17">
        <v>2</v>
      </c>
      <c r="I12" s="17">
        <v>2</v>
      </c>
      <c r="J12" s="17">
        <v>0</v>
      </c>
      <c r="K12" s="115">
        <v>0</v>
      </c>
      <c r="L12" s="115">
        <v>0</v>
      </c>
      <c r="M12" s="116">
        <v>0</v>
      </c>
      <c r="N12" s="115">
        <v>1</v>
      </c>
      <c r="O12" s="117"/>
    </row>
    <row r="13" spans="1:15" ht="15.75" hidden="1" thickBot="1" x14ac:dyDescent="0.3">
      <c r="A13" s="33"/>
      <c r="B13" s="33"/>
      <c r="C13" s="33"/>
      <c r="D13" s="33"/>
      <c r="E13" s="14" t="s">
        <v>24</v>
      </c>
      <c r="F13" s="15" t="s">
        <v>25</v>
      </c>
      <c r="G13" s="22"/>
      <c r="H13" s="17">
        <v>2</v>
      </c>
      <c r="I13" s="17">
        <v>2</v>
      </c>
      <c r="J13" s="17">
        <v>0</v>
      </c>
      <c r="K13" s="115">
        <v>0</v>
      </c>
      <c r="L13" s="115">
        <v>0</v>
      </c>
      <c r="M13" s="116"/>
      <c r="N13" s="115">
        <v>1</v>
      </c>
      <c r="O13" s="117"/>
    </row>
    <row r="14" spans="1:15" ht="15.75" hidden="1" thickBot="1" x14ac:dyDescent="0.3">
      <c r="A14" s="33"/>
      <c r="B14" s="33"/>
      <c r="C14" s="33"/>
      <c r="D14" s="33"/>
      <c r="E14" s="20" t="s">
        <v>26</v>
      </c>
      <c r="F14" s="21" t="s">
        <v>27</v>
      </c>
      <c r="G14" s="23">
        <v>0</v>
      </c>
      <c r="H14" s="24">
        <v>0</v>
      </c>
      <c r="I14" s="24">
        <v>0</v>
      </c>
      <c r="J14" s="24">
        <v>1</v>
      </c>
      <c r="K14" s="118">
        <v>4</v>
      </c>
      <c r="L14" s="118">
        <v>0</v>
      </c>
      <c r="M14" s="118">
        <v>0</v>
      </c>
      <c r="N14" s="118">
        <v>0</v>
      </c>
      <c r="O14" s="119"/>
    </row>
    <row r="15" spans="1:15" s="33" customFormat="1" ht="15.75" hidden="1" thickBot="1" x14ac:dyDescent="0.3"/>
    <row r="16" spans="1:15" ht="45.75" hidden="1" thickBot="1" x14ac:dyDescent="0.3">
      <c r="A16" s="33"/>
      <c r="B16" s="33"/>
      <c r="C16" s="33"/>
      <c r="D16" s="33"/>
      <c r="E16" s="6" t="s">
        <v>28</v>
      </c>
      <c r="F16" s="7" t="s">
        <v>5</v>
      </c>
      <c r="G16" s="25" t="s">
        <v>6</v>
      </c>
      <c r="H16" s="13" t="s">
        <v>7</v>
      </c>
      <c r="I16" s="13" t="s">
        <v>8</v>
      </c>
      <c r="J16" s="25" t="s">
        <v>9</v>
      </c>
      <c r="K16" s="57" t="s">
        <v>10</v>
      </c>
      <c r="L16" s="58" t="s">
        <v>11</v>
      </c>
      <c r="M16" s="58" t="s">
        <v>12</v>
      </c>
      <c r="N16" s="58" t="s">
        <v>13</v>
      </c>
      <c r="O16" s="59" t="s">
        <v>14</v>
      </c>
    </row>
    <row r="17" spans="1:15" hidden="1" x14ac:dyDescent="0.25">
      <c r="A17" s="33"/>
      <c r="B17" s="33"/>
      <c r="C17" s="33"/>
      <c r="D17" s="33"/>
      <c r="E17" s="10" t="s">
        <v>15</v>
      </c>
      <c r="F17" s="11" t="s">
        <v>16</v>
      </c>
      <c r="G17" s="26"/>
      <c r="H17" s="27"/>
      <c r="I17" s="27"/>
      <c r="J17" s="27">
        <f>3600/(12*J7)</f>
        <v>37.5</v>
      </c>
      <c r="K17" s="120"/>
      <c r="L17" s="121">
        <v>21.8</v>
      </c>
      <c r="M17" s="122">
        <v>72</v>
      </c>
      <c r="N17" s="120"/>
      <c r="O17" s="123">
        <v>30</v>
      </c>
    </row>
    <row r="18" spans="1:15" ht="15.75" hidden="1" thickBot="1" x14ac:dyDescent="0.3">
      <c r="A18" s="33"/>
      <c r="B18" s="33"/>
      <c r="C18" s="33"/>
      <c r="D18" s="33"/>
      <c r="E18" s="14" t="s">
        <v>17</v>
      </c>
      <c r="F18" s="15" t="s">
        <v>16</v>
      </c>
      <c r="G18" s="28"/>
      <c r="H18" s="29"/>
      <c r="I18" s="29"/>
      <c r="J18" s="29">
        <f>3600/(12*J8)</f>
        <v>150</v>
      </c>
      <c r="K18" s="124">
        <f>120/4</f>
        <v>30</v>
      </c>
      <c r="L18" s="125"/>
      <c r="M18" s="126"/>
      <c r="N18" s="127"/>
      <c r="O18" s="128"/>
    </row>
    <row r="19" spans="1:15" hidden="1" x14ac:dyDescent="0.25">
      <c r="A19" s="33"/>
      <c r="B19" s="33"/>
      <c r="C19" s="33"/>
      <c r="D19" s="33"/>
      <c r="E19" s="10" t="s">
        <v>18</v>
      </c>
      <c r="F19" s="11" t="s">
        <v>19</v>
      </c>
      <c r="G19" s="28"/>
      <c r="H19" s="29"/>
      <c r="I19" s="29"/>
      <c r="J19" s="29">
        <f>3600/(12*J9)</f>
        <v>33.333333333333336</v>
      </c>
      <c r="K19" s="127"/>
      <c r="L19" s="129">
        <v>10.9</v>
      </c>
      <c r="M19" s="126"/>
      <c r="N19" s="127"/>
      <c r="O19" s="128"/>
    </row>
    <row r="20" spans="1:15" hidden="1" x14ac:dyDescent="0.25">
      <c r="A20" s="33"/>
      <c r="B20" s="33"/>
      <c r="C20" s="33"/>
      <c r="D20" s="33"/>
      <c r="E20" s="18" t="s">
        <v>20</v>
      </c>
      <c r="F20" s="19" t="s">
        <v>19</v>
      </c>
      <c r="G20" s="28"/>
      <c r="H20" s="29"/>
      <c r="I20" s="29"/>
      <c r="J20" s="29">
        <f>3600/(12*J10)</f>
        <v>300</v>
      </c>
      <c r="K20" s="127"/>
      <c r="L20" s="130"/>
      <c r="M20" s="126"/>
      <c r="N20" s="127"/>
      <c r="O20" s="128"/>
    </row>
    <row r="21" spans="1:15" ht="15.75" hidden="1" thickBot="1" x14ac:dyDescent="0.3">
      <c r="A21" s="33"/>
      <c r="B21" s="33"/>
      <c r="C21" s="33"/>
      <c r="D21" s="33"/>
      <c r="E21" s="14" t="s">
        <v>21</v>
      </c>
      <c r="F21" s="15" t="s">
        <v>19</v>
      </c>
      <c r="G21" s="28"/>
      <c r="H21" s="29"/>
      <c r="I21" s="29"/>
      <c r="J21" s="29">
        <f>3600/(12*J11)</f>
        <v>100</v>
      </c>
      <c r="K21" s="127"/>
      <c r="L21" s="125"/>
      <c r="M21" s="126"/>
      <c r="N21" s="127"/>
      <c r="O21" s="128"/>
    </row>
    <row r="22" spans="1:15" ht="15.75" hidden="1" thickBot="1" x14ac:dyDescent="0.3">
      <c r="A22" s="33"/>
      <c r="B22" s="33"/>
      <c r="C22" s="33"/>
      <c r="D22" s="33"/>
      <c r="E22" s="20" t="s">
        <v>22</v>
      </c>
      <c r="F22" s="21" t="s">
        <v>23</v>
      </c>
      <c r="G22" s="30">
        <v>80</v>
      </c>
      <c r="H22" s="29">
        <v>60</v>
      </c>
      <c r="I22" s="29">
        <v>45</v>
      </c>
      <c r="J22" s="29"/>
      <c r="K22" s="127"/>
      <c r="L22" s="127"/>
      <c r="M22" s="126"/>
      <c r="N22" s="129">
        <v>90</v>
      </c>
      <c r="O22" s="128"/>
    </row>
    <row r="23" spans="1:15" ht="15.75" hidden="1" thickBot="1" x14ac:dyDescent="0.3">
      <c r="A23" s="33"/>
      <c r="B23" s="33"/>
      <c r="C23" s="33"/>
      <c r="D23" s="33"/>
      <c r="E23" s="14" t="s">
        <v>24</v>
      </c>
      <c r="F23" s="15" t="s">
        <v>25</v>
      </c>
      <c r="G23" s="30"/>
      <c r="H23" s="29">
        <v>60</v>
      </c>
      <c r="I23" s="29">
        <v>45</v>
      </c>
      <c r="J23" s="29"/>
      <c r="K23" s="127"/>
      <c r="L23" s="127"/>
      <c r="M23" s="126"/>
      <c r="N23" s="125"/>
      <c r="O23" s="128"/>
    </row>
    <row r="24" spans="1:15" ht="15.75" hidden="1" thickBot="1" x14ac:dyDescent="0.3">
      <c r="A24" s="33"/>
      <c r="B24" s="33"/>
      <c r="C24" s="33"/>
      <c r="D24" s="33"/>
      <c r="E24" s="20" t="s">
        <v>26</v>
      </c>
      <c r="F24" s="21" t="s">
        <v>27</v>
      </c>
      <c r="G24" s="31"/>
      <c r="H24" s="32"/>
      <c r="I24" s="32"/>
      <c r="J24" s="32">
        <f>3600/(12*J14)</f>
        <v>300</v>
      </c>
      <c r="K24" s="131">
        <f>60/4</f>
        <v>15</v>
      </c>
      <c r="L24" s="131"/>
      <c r="M24" s="131"/>
      <c r="N24" s="131"/>
      <c r="O24" s="132"/>
    </row>
    <row r="25" spans="1:15" s="33" customFormat="1" hidden="1" x14ac:dyDescent="0.25">
      <c r="J25" s="1"/>
    </row>
    <row r="26" spans="1:15" s="33" customFormat="1" hidden="1" x14ac:dyDescent="0.25">
      <c r="J26" s="1"/>
    </row>
    <row r="27" spans="1:15" s="33" customFormat="1" hidden="1" x14ac:dyDescent="0.25"/>
    <row r="28" spans="1:15" s="33" customFormat="1" ht="15.75" hidden="1" thickBot="1" x14ac:dyDescent="0.3"/>
    <row r="29" spans="1:15" ht="30" hidden="1" x14ac:dyDescent="0.25">
      <c r="A29" s="33"/>
      <c r="B29" s="33"/>
      <c r="C29" s="33"/>
      <c r="D29" s="34">
        <v>3</v>
      </c>
      <c r="E29" s="35" t="s">
        <v>29</v>
      </c>
      <c r="F29" s="36" t="s">
        <v>30</v>
      </c>
      <c r="G29" s="37" t="s">
        <v>31</v>
      </c>
      <c r="H29" s="37" t="s">
        <v>32</v>
      </c>
      <c r="I29" s="37" t="s">
        <v>33</v>
      </c>
      <c r="J29" s="38" t="s">
        <v>34</v>
      </c>
    </row>
    <row r="30" spans="1:15" ht="15.75" hidden="1" thickBot="1" x14ac:dyDescent="0.3">
      <c r="A30" s="33"/>
      <c r="B30" s="33"/>
      <c r="C30" s="33"/>
      <c r="D30" s="33"/>
      <c r="E30" s="39" t="s">
        <v>35</v>
      </c>
      <c r="F30" s="40" t="s">
        <v>36</v>
      </c>
      <c r="G30" s="41" t="s">
        <v>37</v>
      </c>
      <c r="H30" s="41" t="s">
        <v>36</v>
      </c>
      <c r="I30" s="41" t="s">
        <v>38</v>
      </c>
      <c r="J30" s="42" t="s">
        <v>36</v>
      </c>
    </row>
    <row r="31" spans="1:15" hidden="1" x14ac:dyDescent="0.25">
      <c r="A31" s="33"/>
      <c r="B31" s="33"/>
      <c r="C31" s="33"/>
      <c r="D31" s="33"/>
      <c r="E31" s="43" t="s">
        <v>39</v>
      </c>
      <c r="F31" s="44">
        <v>80</v>
      </c>
      <c r="G31" s="37">
        <v>2280</v>
      </c>
      <c r="H31" s="37">
        <f>+F31*G31</f>
        <v>182400</v>
      </c>
      <c r="I31" s="45">
        <v>0.95</v>
      </c>
      <c r="J31" s="46">
        <f>+H31*I31</f>
        <v>173280</v>
      </c>
    </row>
    <row r="32" spans="1:15" hidden="1" x14ac:dyDescent="0.25">
      <c r="A32" s="33"/>
      <c r="B32" s="33"/>
      <c r="C32" s="33"/>
      <c r="D32" s="33"/>
      <c r="E32" s="47" t="s">
        <v>40</v>
      </c>
      <c r="F32" s="48">
        <v>30</v>
      </c>
      <c r="G32" s="49">
        <v>2280</v>
      </c>
      <c r="H32" s="49">
        <f>+F32*G32</f>
        <v>68400</v>
      </c>
      <c r="I32" s="50">
        <v>0.98</v>
      </c>
      <c r="J32" s="51">
        <f>+H32*I32</f>
        <v>67032</v>
      </c>
    </row>
    <row r="33" spans="1:10" hidden="1" x14ac:dyDescent="0.25">
      <c r="A33" s="33"/>
      <c r="B33" s="33"/>
      <c r="C33" s="33"/>
      <c r="D33" s="33"/>
      <c r="E33" s="47" t="s">
        <v>41</v>
      </c>
      <c r="F33" s="48">
        <v>45</v>
      </c>
      <c r="G33" s="49">
        <v>2280</v>
      </c>
      <c r="H33" s="49">
        <f>+F33*G33</f>
        <v>102600</v>
      </c>
      <c r="I33" s="50">
        <v>0.9</v>
      </c>
      <c r="J33" s="51">
        <f>+H33*I33</f>
        <v>92340</v>
      </c>
    </row>
    <row r="34" spans="1:10" hidden="1" x14ac:dyDescent="0.25">
      <c r="A34" s="33"/>
      <c r="B34" s="33"/>
      <c r="C34" s="33"/>
      <c r="D34" s="33"/>
      <c r="E34" s="47" t="s">
        <v>42</v>
      </c>
      <c r="F34" s="48">
        <v>13</v>
      </c>
      <c r="G34" s="49">
        <v>2280</v>
      </c>
      <c r="H34" s="49">
        <f>+F34*G34</f>
        <v>29640</v>
      </c>
      <c r="I34" s="50">
        <v>0.85</v>
      </c>
      <c r="J34" s="51">
        <f>+H34*I34</f>
        <v>25194</v>
      </c>
    </row>
    <row r="35" spans="1:10" hidden="1" x14ac:dyDescent="0.25">
      <c r="A35" s="33"/>
      <c r="B35" s="33"/>
      <c r="C35" s="33"/>
      <c r="D35" s="33"/>
      <c r="E35" s="47" t="s">
        <v>43</v>
      </c>
      <c r="F35" s="48">
        <v>30</v>
      </c>
      <c r="G35" s="49">
        <v>2280</v>
      </c>
      <c r="H35" s="49">
        <f>+F35*G35</f>
        <v>68400</v>
      </c>
      <c r="I35" s="50">
        <v>0.98</v>
      </c>
      <c r="J35" s="51">
        <f>+H35*I35</f>
        <v>67032</v>
      </c>
    </row>
    <row r="36" spans="1:10" hidden="1" x14ac:dyDescent="0.25">
      <c r="A36" s="33"/>
      <c r="B36" s="33"/>
      <c r="C36" s="33"/>
      <c r="D36" s="33"/>
      <c r="E36" s="47" t="s">
        <v>44</v>
      </c>
      <c r="F36" s="48">
        <v>15</v>
      </c>
      <c r="G36" s="49">
        <v>2280</v>
      </c>
      <c r="H36" s="49">
        <f>+F36*G36</f>
        <v>34200</v>
      </c>
      <c r="I36" s="50">
        <v>0.98</v>
      </c>
      <c r="J36" s="51">
        <f>+H36*I36</f>
        <v>33516</v>
      </c>
    </row>
    <row r="37" spans="1:10" hidden="1" x14ac:dyDescent="0.25">
      <c r="A37" s="33"/>
      <c r="B37" s="33"/>
      <c r="C37" s="33"/>
      <c r="D37" s="33"/>
      <c r="E37" s="47" t="s">
        <v>45</v>
      </c>
      <c r="F37" s="52">
        <v>21.8</v>
      </c>
      <c r="G37" s="49">
        <v>2280</v>
      </c>
      <c r="H37" s="49">
        <f>+F37*G37</f>
        <v>49704</v>
      </c>
      <c r="I37" s="50">
        <v>0.95</v>
      </c>
      <c r="J37" s="51">
        <f>+H37*I37</f>
        <v>47218.799999999996</v>
      </c>
    </row>
    <row r="38" spans="1:10" hidden="1" x14ac:dyDescent="0.25">
      <c r="A38" s="33"/>
      <c r="B38" s="33"/>
      <c r="C38" s="33"/>
      <c r="D38" s="33"/>
      <c r="E38" s="47" t="s">
        <v>46</v>
      </c>
      <c r="F38" s="52">
        <v>10.9</v>
      </c>
      <c r="G38" s="49">
        <v>2280</v>
      </c>
      <c r="H38" s="49">
        <f>+F38*G38</f>
        <v>24852</v>
      </c>
      <c r="I38" s="50">
        <v>0.95</v>
      </c>
      <c r="J38" s="51">
        <f>+H38*I38</f>
        <v>23609.399999999998</v>
      </c>
    </row>
    <row r="39" spans="1:10" hidden="1" x14ac:dyDescent="0.25">
      <c r="A39" s="33"/>
      <c r="B39" s="33"/>
      <c r="C39" s="33"/>
      <c r="D39" s="33"/>
      <c r="E39" s="47" t="s">
        <v>12</v>
      </c>
      <c r="F39" s="48">
        <v>72</v>
      </c>
      <c r="G39" s="49">
        <v>2280</v>
      </c>
      <c r="H39" s="49">
        <f>+F39*G39</f>
        <v>164160</v>
      </c>
      <c r="I39" s="50">
        <v>0.87</v>
      </c>
      <c r="J39" s="51">
        <f>+H39*I39</f>
        <v>142819.20000000001</v>
      </c>
    </row>
    <row r="40" spans="1:10" hidden="1" x14ac:dyDescent="0.25">
      <c r="A40" s="33"/>
      <c r="B40" s="33"/>
      <c r="C40" s="33"/>
      <c r="D40" s="33"/>
      <c r="E40" s="47" t="s">
        <v>47</v>
      </c>
      <c r="F40" s="48">
        <v>90</v>
      </c>
      <c r="G40" s="49">
        <v>2280</v>
      </c>
      <c r="H40" s="49">
        <f>+F40*G40</f>
        <v>205200</v>
      </c>
      <c r="I40" s="50">
        <v>0.89</v>
      </c>
      <c r="J40" s="51">
        <f>+H40*I40</f>
        <v>182628</v>
      </c>
    </row>
    <row r="41" spans="1:10" ht="15.75" hidden="1" thickBot="1" x14ac:dyDescent="0.3">
      <c r="A41" s="33"/>
      <c r="B41" s="33"/>
      <c r="C41" s="33"/>
      <c r="D41" s="33"/>
      <c r="E41" s="39" t="s">
        <v>14</v>
      </c>
      <c r="F41" s="53">
        <v>30</v>
      </c>
      <c r="G41" s="54">
        <v>2280</v>
      </c>
      <c r="H41" s="54">
        <f>+F41*G41</f>
        <v>68400</v>
      </c>
      <c r="I41" s="55">
        <v>0.98</v>
      </c>
      <c r="J41" s="56">
        <f>+H41*I41</f>
        <v>67032</v>
      </c>
    </row>
    <row r="42" spans="1:10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</row>
    <row r="43" spans="1:10" x14ac:dyDescent="0.25">
      <c r="A43" s="33"/>
      <c r="B43" s="33"/>
      <c r="C43" s="33"/>
      <c r="D43" s="33" t="s">
        <v>71</v>
      </c>
      <c r="E43" s="33"/>
      <c r="F43" s="33"/>
      <c r="G43" s="33"/>
      <c r="H43" s="33"/>
      <c r="I43" s="33"/>
      <c r="J43" s="33"/>
    </row>
    <row r="44" spans="1:10" ht="15.75" thickBot="1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</row>
    <row r="45" spans="1:10" ht="30" x14ac:dyDescent="0.25">
      <c r="A45" s="33"/>
      <c r="B45" s="33"/>
      <c r="C45" s="33"/>
      <c r="D45" s="33"/>
      <c r="E45" s="35" t="s">
        <v>29</v>
      </c>
      <c r="F45" s="57" t="s">
        <v>48</v>
      </c>
      <c r="G45" s="58" t="s">
        <v>49</v>
      </c>
      <c r="H45" s="58" t="s">
        <v>50</v>
      </c>
      <c r="I45" s="58" t="s">
        <v>51</v>
      </c>
      <c r="J45" s="59" t="s">
        <v>52</v>
      </c>
    </row>
    <row r="46" spans="1:10" ht="30.75" thickBot="1" x14ac:dyDescent="0.3">
      <c r="A46" s="33"/>
      <c r="B46" s="60" t="s">
        <v>53</v>
      </c>
      <c r="C46" s="61" t="s">
        <v>36</v>
      </c>
      <c r="D46" s="33"/>
      <c r="E46" s="39" t="s">
        <v>35</v>
      </c>
      <c r="F46" s="62" t="s">
        <v>36</v>
      </c>
      <c r="G46" s="63" t="s">
        <v>36</v>
      </c>
      <c r="H46" s="63" t="s">
        <v>36</v>
      </c>
      <c r="I46" s="63" t="s">
        <v>36</v>
      </c>
      <c r="J46" s="64" t="s">
        <v>38</v>
      </c>
    </row>
    <row r="47" spans="1:10" x14ac:dyDescent="0.25">
      <c r="A47" s="33"/>
      <c r="B47" s="65">
        <v>0.15</v>
      </c>
      <c r="C47" s="66">
        <f>+G47*0.15</f>
        <v>25992</v>
      </c>
      <c r="D47" s="67" t="s">
        <v>54</v>
      </c>
      <c r="E47" s="68" t="s">
        <v>39</v>
      </c>
      <c r="F47" s="44">
        <v>22600</v>
      </c>
      <c r="G47" s="69">
        <f>+J31</f>
        <v>173280</v>
      </c>
      <c r="H47" s="37">
        <v>1</v>
      </c>
      <c r="I47" s="69">
        <v>173280</v>
      </c>
      <c r="J47" s="70">
        <f>+F47/G47</f>
        <v>0.13042474607571561</v>
      </c>
    </row>
    <row r="48" spans="1:10" x14ac:dyDescent="0.25">
      <c r="A48" s="33"/>
      <c r="B48" s="71">
        <v>0.38</v>
      </c>
      <c r="C48" s="72">
        <f>+G48*0.38</f>
        <v>25472.16</v>
      </c>
      <c r="D48" s="73"/>
      <c r="E48" s="47" t="s">
        <v>40</v>
      </c>
      <c r="F48" s="48">
        <v>22600</v>
      </c>
      <c r="G48" s="74">
        <f>+J32</f>
        <v>67032</v>
      </c>
      <c r="H48" s="49">
        <v>1</v>
      </c>
      <c r="I48" s="74">
        <v>67032</v>
      </c>
      <c r="J48" s="75">
        <f>+F48/G48</f>
        <v>0.33715240482157777</v>
      </c>
    </row>
    <row r="49" spans="1:10" x14ac:dyDescent="0.25">
      <c r="A49" s="33"/>
      <c r="B49" s="71">
        <v>0.28000000000000003</v>
      </c>
      <c r="C49" s="72">
        <f>+G49*0.28</f>
        <v>25855.200000000001</v>
      </c>
      <c r="D49" s="73"/>
      <c r="E49" s="47" t="s">
        <v>41</v>
      </c>
      <c r="F49" s="48">
        <v>22600</v>
      </c>
      <c r="G49" s="74">
        <f>+J33</f>
        <v>92340</v>
      </c>
      <c r="H49" s="49">
        <v>1</v>
      </c>
      <c r="I49" s="74">
        <v>92340</v>
      </c>
      <c r="J49" s="75">
        <f>+F49/G49</f>
        <v>0.24474767164825645</v>
      </c>
    </row>
    <row r="50" spans="1:10" x14ac:dyDescent="0.25">
      <c r="A50" s="33"/>
      <c r="B50" s="71">
        <v>7.0000000000000007E-2</v>
      </c>
      <c r="C50" s="76">
        <f>+G50*0.07</f>
        <v>2346.1200000000003</v>
      </c>
      <c r="D50" s="73"/>
      <c r="E50" s="77" t="s">
        <v>44</v>
      </c>
      <c r="F50" s="78">
        <v>22600</v>
      </c>
      <c r="G50" s="79">
        <f>+J36</f>
        <v>33516</v>
      </c>
      <c r="H50" s="80">
        <v>1</v>
      </c>
      <c r="I50" s="79">
        <v>33516</v>
      </c>
      <c r="J50" s="81">
        <f>+F50/G50</f>
        <v>0.67430480964315553</v>
      </c>
    </row>
    <row r="51" spans="1:10" x14ac:dyDescent="0.25">
      <c r="A51" s="33"/>
      <c r="B51" s="71">
        <f>1-(B47+B48+B49+B50)</f>
        <v>0.11999999999999988</v>
      </c>
      <c r="C51" s="82">
        <f>+G51*B51</f>
        <v>5666.2559999999939</v>
      </c>
      <c r="D51" s="83"/>
      <c r="E51" s="77" t="s">
        <v>45</v>
      </c>
      <c r="F51" s="78">
        <v>22600</v>
      </c>
      <c r="G51" s="79">
        <f>+J37</f>
        <v>47218.799999999996</v>
      </c>
      <c r="H51" s="80">
        <v>1</v>
      </c>
      <c r="I51" s="79">
        <v>47218.799999999996</v>
      </c>
      <c r="J51" s="81">
        <f>+F51/G51</f>
        <v>0.47862292137877288</v>
      </c>
    </row>
    <row r="52" spans="1:10" x14ac:dyDescent="0.25">
      <c r="A52" s="33"/>
      <c r="B52" s="65">
        <v>0.95</v>
      </c>
      <c r="C52" s="84">
        <f>25194*0.95</f>
        <v>23934.3</v>
      </c>
      <c r="D52" s="85" t="s">
        <v>55</v>
      </c>
      <c r="E52" s="47" t="s">
        <v>42</v>
      </c>
      <c r="F52" s="48">
        <v>22600</v>
      </c>
      <c r="G52" s="74">
        <f>+J34</f>
        <v>25194</v>
      </c>
      <c r="H52" s="49">
        <v>1</v>
      </c>
      <c r="I52" s="74">
        <v>25194</v>
      </c>
      <c r="J52" s="75">
        <f>+F52/G52</f>
        <v>0.89703897753433359</v>
      </c>
    </row>
    <row r="53" spans="1:10" x14ac:dyDescent="0.25">
      <c r="A53" s="33" t="s">
        <v>56</v>
      </c>
      <c r="B53" s="86">
        <v>0.05</v>
      </c>
      <c r="C53" s="82">
        <f>+G53*0.05+C51+C57</f>
        <v>24789.869999999995</v>
      </c>
      <c r="D53" s="87"/>
      <c r="E53" s="77" t="s">
        <v>45</v>
      </c>
      <c r="F53" s="78">
        <v>22600</v>
      </c>
      <c r="G53" s="79">
        <f>+J37</f>
        <v>47218.799999999996</v>
      </c>
      <c r="H53" s="80">
        <v>1</v>
      </c>
      <c r="I53" s="79">
        <v>47218.799999999996</v>
      </c>
      <c r="J53" s="81">
        <f>+F53/G53</f>
        <v>0.47862292137877288</v>
      </c>
    </row>
    <row r="54" spans="1:10" x14ac:dyDescent="0.25">
      <c r="A54" s="33"/>
      <c r="B54" s="71">
        <v>0.36</v>
      </c>
      <c r="C54" s="88">
        <f>+G54*0.36</f>
        <v>24131.52</v>
      </c>
      <c r="D54" s="89" t="s">
        <v>57</v>
      </c>
      <c r="E54" s="47" t="s">
        <v>43</v>
      </c>
      <c r="F54" s="48">
        <v>22600</v>
      </c>
      <c r="G54" s="74">
        <f>+J35</f>
        <v>67032</v>
      </c>
      <c r="H54" s="49">
        <v>1</v>
      </c>
      <c r="I54" s="74">
        <v>67032</v>
      </c>
      <c r="J54" s="75">
        <f>+F54/G54</f>
        <v>0.33715240482157777</v>
      </c>
    </row>
    <row r="55" spans="1:10" x14ac:dyDescent="0.25">
      <c r="A55" s="33" t="s">
        <v>58</v>
      </c>
      <c r="B55" s="86">
        <v>0.64</v>
      </c>
      <c r="C55" s="90">
        <f>+G55*0.64+C50</f>
        <v>23796.36</v>
      </c>
      <c r="D55" s="89"/>
      <c r="E55" s="47" t="s">
        <v>44</v>
      </c>
      <c r="F55" s="48">
        <v>22600</v>
      </c>
      <c r="G55" s="74">
        <f>+J36</f>
        <v>33516</v>
      </c>
      <c r="H55" s="49">
        <v>1</v>
      </c>
      <c r="I55" s="74">
        <v>33516</v>
      </c>
      <c r="J55" s="75">
        <f>+F55/G55</f>
        <v>0.67430480964315553</v>
      </c>
    </row>
    <row r="56" spans="1:10" x14ac:dyDescent="0.25">
      <c r="A56" s="33"/>
      <c r="B56" s="86">
        <v>1</v>
      </c>
      <c r="C56" s="91">
        <f>+G56*1</f>
        <v>23609.399999999998</v>
      </c>
      <c r="D56" s="92" t="s">
        <v>59</v>
      </c>
      <c r="E56" s="47" t="s">
        <v>46</v>
      </c>
      <c r="F56" s="48">
        <v>22600</v>
      </c>
      <c r="G56" s="74">
        <f>+J38</f>
        <v>23609.399999999998</v>
      </c>
      <c r="H56" s="49">
        <v>1</v>
      </c>
      <c r="I56" s="74">
        <v>23609.399999999998</v>
      </c>
      <c r="J56" s="75">
        <f>+F56/G56</f>
        <v>0.95724584275754576</v>
      </c>
    </row>
    <row r="57" spans="1:10" x14ac:dyDescent="0.25">
      <c r="A57" s="33"/>
      <c r="B57" s="65">
        <f>1-(B58+B59+B60)</f>
        <v>0.35499999999999998</v>
      </c>
      <c r="C57" s="93">
        <f>+G57*B57</f>
        <v>16762.673999999999</v>
      </c>
      <c r="D57" s="67" t="s">
        <v>60</v>
      </c>
      <c r="E57" s="77" t="s">
        <v>45</v>
      </c>
      <c r="F57" s="78">
        <v>22600</v>
      </c>
      <c r="G57" s="79">
        <f>+J37</f>
        <v>47218.799999999996</v>
      </c>
      <c r="H57" s="80">
        <v>1</v>
      </c>
      <c r="I57" s="79">
        <v>47218.799999999996</v>
      </c>
      <c r="J57" s="81">
        <f>+F57/G57</f>
        <v>0.47862292137877288</v>
      </c>
    </row>
    <row r="58" spans="1:10" x14ac:dyDescent="0.25">
      <c r="A58" s="33"/>
      <c r="B58" s="71">
        <v>0.16500000000000001</v>
      </c>
      <c r="C58" s="72">
        <f>+G58*0.165</f>
        <v>23565.168000000001</v>
      </c>
      <c r="D58" s="73"/>
      <c r="E58" s="47" t="s">
        <v>12</v>
      </c>
      <c r="F58" s="48">
        <v>22600</v>
      </c>
      <c r="G58" s="74">
        <f>+J39</f>
        <v>142819.20000000001</v>
      </c>
      <c r="H58" s="49">
        <v>1</v>
      </c>
      <c r="I58" s="74">
        <v>142819.20000000001</v>
      </c>
      <c r="J58" s="75">
        <f>+F58/G58</f>
        <v>0.15824202908292442</v>
      </c>
    </row>
    <row r="59" spans="1:10" x14ac:dyDescent="0.25">
      <c r="A59" s="33"/>
      <c r="B59" s="71">
        <v>0.13</v>
      </c>
      <c r="C59" s="72">
        <f>+G59*0.13</f>
        <v>23741.64</v>
      </c>
      <c r="D59" s="73"/>
      <c r="E59" s="47" t="s">
        <v>47</v>
      </c>
      <c r="F59" s="48">
        <v>22600</v>
      </c>
      <c r="G59" s="74">
        <f>+J40</f>
        <v>182628</v>
      </c>
      <c r="H59" s="49">
        <v>1</v>
      </c>
      <c r="I59" s="74">
        <v>182628</v>
      </c>
      <c r="J59" s="75">
        <f>+F59/G59</f>
        <v>0.12374882274350045</v>
      </c>
    </row>
    <row r="60" spans="1:10" ht="15.75" thickBot="1" x14ac:dyDescent="0.3">
      <c r="A60" s="33"/>
      <c r="B60" s="86">
        <v>0.35</v>
      </c>
      <c r="C60" s="94">
        <f>+G60*0.35</f>
        <v>23461.199999999997</v>
      </c>
      <c r="D60" s="83"/>
      <c r="E60" s="39" t="s">
        <v>14</v>
      </c>
      <c r="F60" s="53">
        <v>22600</v>
      </c>
      <c r="G60" s="95">
        <f>+J41</f>
        <v>67032</v>
      </c>
      <c r="H60" s="54">
        <v>1</v>
      </c>
      <c r="I60" s="95">
        <v>67032</v>
      </c>
      <c r="J60" s="96">
        <f>+F60/G60</f>
        <v>0.33715240482157777</v>
      </c>
    </row>
    <row r="61" spans="1:10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</row>
    <row r="62" spans="1:10" ht="15.75" thickBot="1" x14ac:dyDescent="0.3">
      <c r="A62" s="33"/>
      <c r="B62" s="33"/>
      <c r="C62" s="33"/>
      <c r="D62" s="33"/>
      <c r="E62" s="33"/>
      <c r="F62" s="33"/>
      <c r="G62" s="33"/>
      <c r="H62" s="33"/>
      <c r="I62" s="33"/>
      <c r="J62" s="33"/>
    </row>
    <row r="63" spans="1:10" ht="30" x14ac:dyDescent="0.25">
      <c r="A63" s="33"/>
      <c r="B63" s="33"/>
      <c r="C63" s="33"/>
      <c r="D63" s="34">
        <v>4</v>
      </c>
      <c r="E63" s="35" t="s">
        <v>29</v>
      </c>
      <c r="F63" s="57" t="s">
        <v>48</v>
      </c>
      <c r="G63" s="58" t="s">
        <v>61</v>
      </c>
      <c r="H63" s="58" t="s">
        <v>62</v>
      </c>
      <c r="I63" s="58" t="s">
        <v>51</v>
      </c>
      <c r="J63" s="59" t="s">
        <v>52</v>
      </c>
    </row>
    <row r="64" spans="1:10" ht="15.75" thickBot="1" x14ac:dyDescent="0.3">
      <c r="A64" s="33"/>
      <c r="B64" s="33"/>
      <c r="C64" s="33"/>
      <c r="D64" s="33"/>
      <c r="E64" s="97" t="s">
        <v>63</v>
      </c>
      <c r="F64" s="62" t="s">
        <v>36</v>
      </c>
      <c r="G64" s="63" t="s">
        <v>36</v>
      </c>
      <c r="H64" s="63" t="s">
        <v>36</v>
      </c>
      <c r="I64" s="63" t="s">
        <v>36</v>
      </c>
      <c r="J64" s="64" t="s">
        <v>38</v>
      </c>
    </row>
    <row r="65" spans="1:10" x14ac:dyDescent="0.25">
      <c r="A65" s="33"/>
      <c r="B65" s="33"/>
      <c r="C65" s="33"/>
      <c r="D65" s="33"/>
      <c r="E65" s="98" t="s">
        <v>64</v>
      </c>
      <c r="F65" s="99">
        <v>22600</v>
      </c>
      <c r="G65" s="100">
        <f>+MIN(C47:C49)</f>
        <v>25472.16</v>
      </c>
      <c r="H65" s="37">
        <v>1</v>
      </c>
      <c r="I65" s="100">
        <f>+G65</f>
        <v>25472.16</v>
      </c>
      <c r="J65" s="101">
        <f>+F65/G65</f>
        <v>0.88724317058309932</v>
      </c>
    </row>
    <row r="66" spans="1:10" x14ac:dyDescent="0.25">
      <c r="A66" s="33"/>
      <c r="B66" s="33"/>
      <c r="C66" s="33"/>
      <c r="D66" s="33"/>
      <c r="E66" s="102" t="s">
        <v>65</v>
      </c>
      <c r="F66" s="103">
        <v>22600</v>
      </c>
      <c r="G66" s="104">
        <f>+C52</f>
        <v>23934.3</v>
      </c>
      <c r="H66" s="49">
        <v>1</v>
      </c>
      <c r="I66" s="104">
        <f>+G66</f>
        <v>23934.3</v>
      </c>
      <c r="J66" s="105">
        <f>+F66/G66</f>
        <v>0.9442515552992985</v>
      </c>
    </row>
    <row r="67" spans="1:10" x14ac:dyDescent="0.25">
      <c r="A67" s="33"/>
      <c r="B67" s="33"/>
      <c r="C67" s="33"/>
      <c r="D67" s="33"/>
      <c r="E67" s="102" t="s">
        <v>66</v>
      </c>
      <c r="F67" s="103">
        <v>22600</v>
      </c>
      <c r="G67" s="104">
        <f>+MIN(C54:C55)</f>
        <v>23796.36</v>
      </c>
      <c r="H67" s="49">
        <v>1</v>
      </c>
      <c r="I67" s="104">
        <f>+G67</f>
        <v>23796.36</v>
      </c>
      <c r="J67" s="105">
        <f>+F67/G67</f>
        <v>0.94972508400444433</v>
      </c>
    </row>
    <row r="68" spans="1:10" x14ac:dyDescent="0.25">
      <c r="A68" s="33"/>
      <c r="B68" s="33"/>
      <c r="C68" s="33"/>
      <c r="D68" s="33"/>
      <c r="E68" s="102" t="s">
        <v>67</v>
      </c>
      <c r="F68" s="103">
        <v>22600</v>
      </c>
      <c r="G68" s="104">
        <f>+MIN(C56:C56)</f>
        <v>23609.399999999998</v>
      </c>
      <c r="H68" s="49">
        <v>1</v>
      </c>
      <c r="I68" s="104">
        <f>+G68</f>
        <v>23609.399999999998</v>
      </c>
      <c r="J68" s="105">
        <f>+F68/G68</f>
        <v>0.95724584275754576</v>
      </c>
    </row>
    <row r="69" spans="1:10" ht="15.75" thickBot="1" x14ac:dyDescent="0.3">
      <c r="A69" s="33"/>
      <c r="B69" s="33"/>
      <c r="C69" s="33"/>
      <c r="D69" s="33"/>
      <c r="E69" s="106" t="s">
        <v>68</v>
      </c>
      <c r="F69" s="107">
        <v>22600</v>
      </c>
      <c r="G69" s="108">
        <f>+MIN(C58:C60)</f>
        <v>23461.199999999997</v>
      </c>
      <c r="H69" s="54">
        <v>1</v>
      </c>
      <c r="I69" s="108">
        <f>+G69</f>
        <v>23461.199999999997</v>
      </c>
      <c r="J69" s="109">
        <f>+F69/G69</f>
        <v>0.963292585204508</v>
      </c>
    </row>
    <row r="70" spans="1:10" s="33" customFormat="1" x14ac:dyDescent="0.25"/>
    <row r="71" spans="1:10" s="33" customFormat="1" x14ac:dyDescent="0.25"/>
    <row r="72" spans="1:10" s="33" customFormat="1" x14ac:dyDescent="0.25"/>
    <row r="73" spans="1:10" s="33" customFormat="1" x14ac:dyDescent="0.25"/>
    <row r="74" spans="1:10" s="33" customFormat="1" x14ac:dyDescent="0.25"/>
    <row r="75" spans="1:10" s="33" customFormat="1" x14ac:dyDescent="0.25"/>
    <row r="76" spans="1:10" s="33" customFormat="1" x14ac:dyDescent="0.25"/>
    <row r="77" spans="1:10" s="33" customFormat="1" x14ac:dyDescent="0.25"/>
    <row r="78" spans="1:10" s="33" customFormat="1" x14ac:dyDescent="0.25"/>
    <row r="79" spans="1:10" s="33" customFormat="1" x14ac:dyDescent="0.25"/>
    <row r="80" spans="1:10" s="33" customFormat="1" x14ac:dyDescent="0.25"/>
    <row r="81" s="33" customFormat="1" x14ac:dyDescent="0.25"/>
    <row r="82" s="33" customFormat="1" x14ac:dyDescent="0.25"/>
    <row r="83" s="33" customFormat="1" x14ac:dyDescent="0.25"/>
    <row r="84" s="33" customFormat="1" x14ac:dyDescent="0.25"/>
    <row r="85" s="33" customFormat="1" x14ac:dyDescent="0.25"/>
    <row r="86" s="33" customFormat="1" x14ac:dyDescent="0.25"/>
    <row r="87" s="33" customFormat="1" x14ac:dyDescent="0.25"/>
    <row r="88" s="33" customFormat="1" x14ac:dyDescent="0.25"/>
    <row r="89" s="33" customFormat="1" x14ac:dyDescent="0.25"/>
    <row r="90" s="33" customFormat="1" x14ac:dyDescent="0.25"/>
    <row r="91" s="33" customFormat="1" x14ac:dyDescent="0.25"/>
    <row r="92" s="33" customFormat="1" x14ac:dyDescent="0.25"/>
    <row r="93" s="33" customFormat="1" x14ac:dyDescent="0.25"/>
    <row r="94" s="33" customFormat="1" x14ac:dyDescent="0.25"/>
    <row r="95" s="33" customFormat="1" x14ac:dyDescent="0.25"/>
    <row r="96" s="33" customFormat="1" x14ac:dyDescent="0.25"/>
    <row r="97" s="33" customFormat="1" x14ac:dyDescent="0.25"/>
    <row r="98" s="33" customFormat="1" x14ac:dyDescent="0.25"/>
    <row r="99" s="33" customFormat="1" x14ac:dyDescent="0.25"/>
    <row r="100" s="33" customFormat="1" x14ac:dyDescent="0.25"/>
    <row r="101" s="33" customFormat="1" x14ac:dyDescent="0.25"/>
    <row r="102" s="33" customFormat="1" x14ac:dyDescent="0.25"/>
    <row r="103" s="33" customFormat="1" x14ac:dyDescent="0.25"/>
    <row r="104" s="33" customFormat="1" x14ac:dyDescent="0.25"/>
    <row r="105" s="33" customFormat="1" x14ac:dyDescent="0.25"/>
    <row r="106" s="33" customFormat="1" x14ac:dyDescent="0.25"/>
    <row r="107" s="33" customFormat="1" x14ac:dyDescent="0.25"/>
    <row r="108" s="33" customFormat="1" x14ac:dyDescent="0.25"/>
    <row r="109" s="33" customFormat="1" x14ac:dyDescent="0.25"/>
    <row r="110" s="33" customFormat="1" x14ac:dyDescent="0.25"/>
    <row r="111" s="33" customFormat="1" x14ac:dyDescent="0.25"/>
    <row r="112" s="33" customFormat="1" x14ac:dyDescent="0.25"/>
    <row r="113" s="33" customFormat="1" x14ac:dyDescent="0.25"/>
    <row r="114" s="33" customFormat="1" x14ac:dyDescent="0.25"/>
    <row r="115" s="33" customFormat="1" x14ac:dyDescent="0.25"/>
    <row r="116" s="33" customFormat="1" x14ac:dyDescent="0.25"/>
    <row r="117" s="33" customFormat="1" x14ac:dyDescent="0.25"/>
    <row r="118" s="33" customFormat="1" x14ac:dyDescent="0.25"/>
    <row r="119" s="33" customFormat="1" x14ac:dyDescent="0.25"/>
    <row r="120" s="33" customFormat="1" x14ac:dyDescent="0.25"/>
    <row r="121" s="33" customFormat="1" x14ac:dyDescent="0.25"/>
    <row r="122" s="33" customFormat="1" x14ac:dyDescent="0.25"/>
    <row r="123" s="33" customFormat="1" x14ac:dyDescent="0.25"/>
    <row r="124" s="33" customFormat="1" x14ac:dyDescent="0.25"/>
    <row r="125" s="33" customFormat="1" x14ac:dyDescent="0.25"/>
    <row r="126" s="33" customFormat="1" x14ac:dyDescent="0.25"/>
    <row r="127" s="33" customFormat="1" x14ac:dyDescent="0.25"/>
    <row r="128" s="33" customFormat="1" x14ac:dyDescent="0.25"/>
    <row r="129" s="33" customFormat="1" x14ac:dyDescent="0.25"/>
    <row r="130" s="33" customFormat="1" x14ac:dyDescent="0.25"/>
    <row r="131" s="33" customFormat="1" x14ac:dyDescent="0.25"/>
    <row r="132" s="33" customFormat="1" x14ac:dyDescent="0.25"/>
    <row r="133" s="33" customFormat="1" x14ac:dyDescent="0.25"/>
    <row r="134" s="33" customFormat="1" x14ac:dyDescent="0.25"/>
    <row r="135" s="33" customFormat="1" x14ac:dyDescent="0.25"/>
    <row r="136" s="33" customFormat="1" x14ac:dyDescent="0.25"/>
    <row r="137" s="33" customFormat="1" x14ac:dyDescent="0.25"/>
    <row r="138" s="33" customFormat="1" x14ac:dyDescent="0.25"/>
    <row r="139" s="33" customFormat="1" x14ac:dyDescent="0.25"/>
  </sheetData>
  <mergeCells count="19">
    <mergeCell ref="D47:D51"/>
    <mergeCell ref="D52:D53"/>
    <mergeCell ref="D54:D55"/>
    <mergeCell ref="D57:D60"/>
    <mergeCell ref="L17:L18"/>
    <mergeCell ref="M17:M21"/>
    <mergeCell ref="O17:O24"/>
    <mergeCell ref="L19:L21"/>
    <mergeCell ref="G22:G23"/>
    <mergeCell ref="M22:M23"/>
    <mergeCell ref="N22:N23"/>
    <mergeCell ref="E4:F4"/>
    <mergeCell ref="E5:F5"/>
    <mergeCell ref="G5:I5"/>
    <mergeCell ref="J5:L5"/>
    <mergeCell ref="M7:M11"/>
    <mergeCell ref="O7:O14"/>
    <mergeCell ref="G12:G13"/>
    <mergeCell ref="M12:M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5C428-CCB7-4C7F-97B8-4DE2F5091252}">
  <dimension ref="A3:S13"/>
  <sheetViews>
    <sheetView zoomScaleNormal="100" workbookViewId="0">
      <selection activeCell="F20" sqref="F20"/>
    </sheetView>
  </sheetViews>
  <sheetFormatPr baseColWidth="10" defaultRowHeight="15" x14ac:dyDescent="0.25"/>
  <cols>
    <col min="1" max="2" width="11.42578125" style="33"/>
    <col min="3" max="4" width="13" style="33" customWidth="1"/>
    <col min="5" max="5" width="32.7109375" style="33" customWidth="1"/>
    <col min="6" max="6" width="16.28515625" style="33" bestFit="1" customWidth="1"/>
    <col min="7" max="7" width="16.7109375" style="33" bestFit="1" customWidth="1"/>
    <col min="8" max="8" width="20.7109375" style="33" bestFit="1" customWidth="1"/>
    <col min="9" max="9" width="22" style="33" bestFit="1" customWidth="1"/>
    <col min="10" max="10" width="28.5703125" style="33" bestFit="1" customWidth="1"/>
    <col min="11" max="16384" width="11.42578125" style="33"/>
  </cols>
  <sheetData>
    <row r="3" spans="1:19" x14ac:dyDescent="0.25">
      <c r="A3" s="33" t="s">
        <v>69</v>
      </c>
    </row>
    <row r="4" spans="1:19" x14ac:dyDescent="0.25">
      <c r="A4" s="33" t="s">
        <v>70</v>
      </c>
    </row>
    <row r="5" spans="1:19" ht="15.75" thickBot="1" x14ac:dyDescent="0.3"/>
    <row r="6" spans="1:19" customFormat="1" ht="30" x14ac:dyDescent="0.25">
      <c r="A6" s="33"/>
      <c r="B6" s="33"/>
      <c r="C6" s="33"/>
      <c r="D6" s="34">
        <v>5</v>
      </c>
      <c r="E6" s="35" t="s">
        <v>29</v>
      </c>
      <c r="F6" s="57" t="s">
        <v>48</v>
      </c>
      <c r="G6" s="58" t="s">
        <v>61</v>
      </c>
      <c r="H6" s="58" t="s">
        <v>62</v>
      </c>
      <c r="I6" s="58" t="s">
        <v>51</v>
      </c>
      <c r="J6" s="59" t="s">
        <v>52</v>
      </c>
      <c r="K6" s="33"/>
      <c r="L6" s="33"/>
      <c r="M6" s="33"/>
      <c r="N6" s="33"/>
      <c r="O6" s="33"/>
      <c r="P6" s="33"/>
      <c r="Q6" s="33"/>
      <c r="R6" s="33"/>
      <c r="S6" s="33"/>
    </row>
    <row r="7" spans="1:19" customFormat="1" ht="15.75" thickBot="1" x14ac:dyDescent="0.3">
      <c r="A7" s="33"/>
      <c r="B7" s="33"/>
      <c r="C7" s="33"/>
      <c r="D7" s="33"/>
      <c r="E7" s="97" t="s">
        <v>63</v>
      </c>
      <c r="F7" s="62" t="s">
        <v>36</v>
      </c>
      <c r="G7" s="63" t="s">
        <v>36</v>
      </c>
      <c r="H7" s="63" t="s">
        <v>36</v>
      </c>
      <c r="I7" s="63" t="s">
        <v>36</v>
      </c>
      <c r="J7" s="64" t="s">
        <v>38</v>
      </c>
      <c r="K7" s="33"/>
      <c r="L7" s="33"/>
      <c r="M7" s="33"/>
      <c r="N7" s="33"/>
      <c r="O7" s="33"/>
      <c r="P7" s="33"/>
      <c r="Q7" s="33"/>
      <c r="R7" s="33"/>
      <c r="S7" s="33"/>
    </row>
    <row r="8" spans="1:19" customFormat="1" x14ac:dyDescent="0.25">
      <c r="A8" s="33"/>
      <c r="B8" s="33"/>
      <c r="C8" s="33"/>
      <c r="D8" s="33"/>
      <c r="E8" s="98" t="s">
        <v>64</v>
      </c>
      <c r="F8" s="100">
        <v>23461.199999999997</v>
      </c>
      <c r="G8" s="100">
        <v>25472.16</v>
      </c>
      <c r="H8" s="69">
        <v>1</v>
      </c>
      <c r="I8" s="100">
        <f>+G8</f>
        <v>25472.16</v>
      </c>
      <c r="J8" s="101">
        <f>+F8/G8</f>
        <v>0.92105263157894723</v>
      </c>
      <c r="K8" s="33"/>
      <c r="L8" s="33"/>
      <c r="M8" s="33"/>
      <c r="N8" s="33"/>
      <c r="O8" s="33"/>
      <c r="P8" s="33"/>
      <c r="Q8" s="33"/>
      <c r="R8" s="33"/>
      <c r="S8" s="33"/>
    </row>
    <row r="9" spans="1:19" customFormat="1" x14ac:dyDescent="0.25">
      <c r="A9" s="33"/>
      <c r="B9" s="33"/>
      <c r="C9" s="33"/>
      <c r="D9" s="33"/>
      <c r="E9" s="102" t="s">
        <v>65</v>
      </c>
      <c r="F9" s="104">
        <v>23461.199999999997</v>
      </c>
      <c r="G9" s="104">
        <v>23934.3</v>
      </c>
      <c r="H9" s="74">
        <v>1</v>
      </c>
      <c r="I9" s="104">
        <f>+G9</f>
        <v>23934.3</v>
      </c>
      <c r="J9" s="105">
        <f>+F9/G9</f>
        <v>0.98023338890211942</v>
      </c>
      <c r="K9" s="33"/>
      <c r="L9" s="33"/>
      <c r="M9" s="33"/>
      <c r="N9" s="33"/>
      <c r="O9" s="33"/>
      <c r="P9" s="33"/>
      <c r="Q9" s="33"/>
      <c r="R9" s="33"/>
      <c r="S9" s="33"/>
    </row>
    <row r="10" spans="1:19" customFormat="1" x14ac:dyDescent="0.25">
      <c r="A10" s="33"/>
      <c r="B10" s="33"/>
      <c r="C10" s="33"/>
      <c r="D10" s="33"/>
      <c r="E10" s="102" t="s">
        <v>66</v>
      </c>
      <c r="F10" s="104">
        <v>23461.199999999997</v>
      </c>
      <c r="G10" s="104">
        <v>23796.36</v>
      </c>
      <c r="H10" s="74">
        <v>1</v>
      </c>
      <c r="I10" s="104">
        <f>+G10</f>
        <v>23796.36</v>
      </c>
      <c r="J10" s="105">
        <f>+F10/G10</f>
        <v>0.98591549295774639</v>
      </c>
      <c r="K10" s="33"/>
      <c r="L10" s="33"/>
      <c r="M10" s="33"/>
      <c r="N10" s="33"/>
      <c r="O10" s="33"/>
      <c r="P10" s="33"/>
      <c r="Q10" s="33"/>
      <c r="R10" s="33"/>
      <c r="S10" s="33"/>
    </row>
    <row r="11" spans="1:19" customFormat="1" x14ac:dyDescent="0.25">
      <c r="A11" s="33"/>
      <c r="B11" s="33"/>
      <c r="C11" s="33"/>
      <c r="D11" s="33"/>
      <c r="E11" s="102" t="s">
        <v>67</v>
      </c>
      <c r="F11" s="104">
        <v>23461.199999999997</v>
      </c>
      <c r="G11" s="104">
        <v>23609.399999999998</v>
      </c>
      <c r="H11" s="74">
        <v>1</v>
      </c>
      <c r="I11" s="104">
        <f>+G11</f>
        <v>23609.399999999998</v>
      </c>
      <c r="J11" s="105">
        <f>+F11/G11</f>
        <v>0.993722839208112</v>
      </c>
      <c r="K11" s="33"/>
      <c r="L11" s="33"/>
      <c r="M11" s="33"/>
      <c r="N11" s="33"/>
      <c r="O11" s="33"/>
      <c r="P11" s="33"/>
      <c r="Q11" s="33"/>
      <c r="R11" s="33"/>
      <c r="S11" s="33"/>
    </row>
    <row r="12" spans="1:19" customFormat="1" ht="15.75" thickBot="1" x14ac:dyDescent="0.3">
      <c r="A12" s="33"/>
      <c r="B12" s="33"/>
      <c r="C12" s="33"/>
      <c r="D12" s="33"/>
      <c r="E12" s="106" t="s">
        <v>68</v>
      </c>
      <c r="F12" s="108">
        <v>23461.199999999997</v>
      </c>
      <c r="G12" s="108">
        <v>23461.199999999997</v>
      </c>
      <c r="H12" s="95">
        <v>1</v>
      </c>
      <c r="I12" s="108">
        <f>+G12</f>
        <v>23461.199999999997</v>
      </c>
      <c r="J12" s="109">
        <f>+F12/G12</f>
        <v>1</v>
      </c>
      <c r="K12" s="33"/>
      <c r="L12" s="33"/>
      <c r="M12" s="33"/>
      <c r="N12" s="33"/>
      <c r="O12" s="33"/>
      <c r="P12" s="33"/>
      <c r="Q12" s="33"/>
      <c r="R12" s="33"/>
      <c r="S12" s="33"/>
    </row>
    <row r="13" spans="1:19" customFormat="1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 1</vt:lpstr>
      <vt:lpstr>Ej 2</vt:lpstr>
      <vt:lpstr>Ej 3</vt:lpstr>
      <vt:lpstr>Ej 4</vt:lpstr>
      <vt:lpstr>Ej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</dc:creator>
  <cp:lastModifiedBy>Leandro</cp:lastModifiedBy>
  <dcterms:created xsi:type="dcterms:W3CDTF">2018-09-15T23:34:00Z</dcterms:created>
  <dcterms:modified xsi:type="dcterms:W3CDTF">2018-09-16T00:40:10Z</dcterms:modified>
</cp:coreProperties>
</file>