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omments7.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TG\Google Drive\1.Facu\2022\Evaluación de Proyecto 2022\Sensibilidad\"/>
    </mc:Choice>
  </mc:AlternateContent>
  <xr:revisionPtr revIDLastSave="0" documentId="13_ncr:1_{C4E3BA0C-63C9-41A1-B209-17B4B34FF767}" xr6:coauthVersionLast="47" xr6:coauthVersionMax="47" xr10:uidLastSave="{00000000-0000-0000-0000-000000000000}"/>
  <bookViews>
    <workbookView xWindow="-108" yWindow="-108" windowWidth="23256" windowHeight="12576" tabRatio="937" firstSheet="18" activeTab="18" xr2:uid="{00000000-000D-0000-FFFF-FFFF00000000}"/>
  </bookViews>
  <sheets>
    <sheet name="DATA E-COSTOS" sheetId="1" r:id="rId1"/>
    <sheet name="DATA E-InvAT" sheetId="2" r:id="rId2"/>
    <sheet name="DATA INV AF y AM" sheetId="3" r:id="rId3"/>
    <sheet name="E-Cal Inv." sheetId="5" r:id="rId4"/>
    <sheet name="E-Costos" sheetId="6" r:id="rId5"/>
    <sheet name="E-IVA " sheetId="7" r:id="rId6"/>
    <sheet name="E-Inv AF y Am" sheetId="8" r:id="rId7"/>
    <sheet name="E-InvAT" sheetId="9" r:id="rId8"/>
    <sheet name="E-Form" sheetId="10" r:id="rId9"/>
    <sheet name="InfoInicial" sheetId="4" r:id="rId10"/>
    <sheet name="RES CRED" sheetId="18" r:id="rId11"/>
    <sheet name="F-Cred" sheetId="11" r:id="rId12"/>
    <sheet name="F-CRes" sheetId="12" r:id="rId13"/>
    <sheet name="F-IVA" sheetId="14" r:id="rId14"/>
    <sheet name="F-2 Estructura" sheetId="13" r:id="rId15"/>
    <sheet name="F- CFyU" sheetId="15" r:id="rId16"/>
    <sheet name="F-Balance" sheetId="16" r:id="rId17"/>
    <sheet name="F- Form" sheetId="17" r:id="rId18"/>
    <sheet name="Analisis Sensibilidad" sheetId="19" r:id="rId19"/>
  </sheets>
  <definedNames>
    <definedName name="_xlnm.Print_Area" localSheetId="15">'F- CFyU'!$A$3:$H$28</definedName>
    <definedName name="_xlnm.Print_Area" localSheetId="16">'F-Balance'!$A$3:$G$35</definedName>
    <definedName name="_xlnm.Print_Area" localSheetId="11">'F-Cred'!$A$1:$I$38</definedName>
    <definedName name="Excel_BuiltIn_Print_Area" localSheetId="15">('F- CFyU'!#REF!,'F- CFyU'!#REF!,'F- CFyU'!$A$3:$H$28)</definedName>
    <definedName name="Excel_BuiltIn_Print_Area" localSheetId="16">('F-Balance'!#REF!,'F-Balance'!#REF!,'F-Balance'!$A$3:$G$35)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9" i="10" l="1"/>
  <c r="D8" i="10"/>
  <c r="E7" i="9"/>
  <c r="D104" i="6"/>
  <c r="D102" i="6"/>
  <c r="D89" i="6"/>
  <c r="D88" i="6"/>
  <c r="D85" i="6"/>
  <c r="D83" i="6"/>
  <c r="D82" i="6"/>
  <c r="D80" i="6"/>
  <c r="D66" i="6"/>
  <c r="D65" i="6"/>
  <c r="D64" i="6"/>
  <c r="D62" i="6"/>
  <c r="D61" i="6"/>
  <c r="D59" i="6"/>
  <c r="D40" i="6"/>
  <c r="D39" i="6"/>
  <c r="D38" i="6"/>
  <c r="D36" i="6"/>
  <c r="D35" i="6"/>
  <c r="D34" i="6"/>
  <c r="D17" i="6"/>
  <c r="D16" i="6"/>
  <c r="D15" i="6"/>
  <c r="D14" i="6"/>
  <c r="D13" i="6"/>
  <c r="D12" i="6"/>
  <c r="D31" i="6"/>
  <c r="D33" i="6"/>
  <c r="C155" i="1"/>
  <c r="C156" i="1"/>
  <c r="D11" i="6"/>
  <c r="D8" i="6"/>
  <c r="F91" i="1"/>
  <c r="G91" i="1"/>
  <c r="B18" i="4"/>
  <c r="B20" i="4"/>
  <c r="B99" i="1"/>
  <c r="G40" i="1"/>
  <c r="G25" i="1"/>
  <c r="B30" i="1"/>
  <c r="B33" i="2"/>
  <c r="B19" i="4"/>
  <c r="C7" i="9" s="1"/>
  <c r="C28" i="9" s="1"/>
  <c r="C241" i="1"/>
  <c r="B241" i="1"/>
  <c r="C240" i="1"/>
  <c r="B240" i="1"/>
  <c r="C288" i="1"/>
  <c r="C287" i="1"/>
  <c r="B288" i="1"/>
  <c r="B90" i="6" s="1"/>
  <c r="B287" i="1"/>
  <c r="B67" i="6" s="1"/>
  <c r="B286" i="1"/>
  <c r="F287" i="1"/>
  <c r="C286" i="1"/>
  <c r="B17" i="6"/>
  <c r="I6" i="2"/>
  <c r="B21" i="4"/>
  <c r="D7" i="19"/>
  <c r="B7" i="19"/>
  <c r="E8" i="7"/>
  <c r="F18" i="6" l="1"/>
  <c r="E18" i="6"/>
  <c r="D18" i="6"/>
  <c r="C18" i="6"/>
  <c r="C293" i="1"/>
  <c r="C294" i="1" s="1"/>
  <c r="B18" i="6"/>
  <c r="B293" i="1"/>
  <c r="B294" i="1" s="1"/>
  <c r="B40" i="6" s="1"/>
  <c r="F67" i="6"/>
  <c r="C67" i="6"/>
  <c r="D67" i="6"/>
  <c r="E67" i="6"/>
  <c r="F90" i="6"/>
  <c r="C90" i="6"/>
  <c r="D90" i="6"/>
  <c r="E90" i="6"/>
  <c r="B289" i="1"/>
  <c r="C289" i="1"/>
  <c r="C7" i="19"/>
  <c r="F24" i="17"/>
  <c r="C26" i="17"/>
  <c r="C27" i="17"/>
  <c r="C28" i="17"/>
  <c r="D31" i="17"/>
  <c r="C34" i="16"/>
  <c r="B39" i="4"/>
  <c r="B44" i="4"/>
  <c r="F40" i="6" l="1"/>
  <c r="C40" i="6"/>
  <c r="E40" i="6"/>
  <c r="B13" i="13"/>
  <c r="B13" i="14"/>
  <c r="B14" i="14" s="1"/>
  <c r="B10" i="14"/>
  <c r="B12" i="14" s="1"/>
  <c r="C6" i="13"/>
  <c r="G28" i="16"/>
  <c r="B9" i="16"/>
  <c r="B40" i="4"/>
  <c r="H12" i="15"/>
  <c r="H20" i="15"/>
  <c r="H22" i="15"/>
  <c r="B45" i="4"/>
  <c r="L3" i="18"/>
  <c r="K3" i="18"/>
  <c r="G7" i="12"/>
  <c r="C217" i="1"/>
  <c r="M3" i="18" l="1"/>
  <c r="N3" i="18" s="1"/>
  <c r="C3" i="18" s="1"/>
  <c r="D3" i="18" s="1"/>
  <c r="F3" i="18" s="1"/>
  <c r="C7" i="18"/>
  <c r="D7" i="18" s="1"/>
  <c r="F7" i="18" s="1"/>
  <c r="C11" i="18"/>
  <c r="D11" i="18" s="1"/>
  <c r="F11" i="18" s="1"/>
  <c r="C9" i="18"/>
  <c r="D9" i="18" s="1"/>
  <c r="F9" i="18" s="1"/>
  <c r="C14" i="18"/>
  <c r="D14" i="18" s="1"/>
  <c r="G1" i="17"/>
  <c r="E1" i="16"/>
  <c r="E1" i="15"/>
  <c r="E1" i="14"/>
  <c r="D1" i="13"/>
  <c r="F1" i="12"/>
  <c r="F1" i="11"/>
  <c r="G1" i="10"/>
  <c r="B16" i="9"/>
  <c r="C6" i="9"/>
  <c r="E6" i="9" s="1"/>
  <c r="E7" i="16" s="1"/>
  <c r="E1" i="9"/>
  <c r="C54" i="8"/>
  <c r="C50" i="8"/>
  <c r="C49" i="8"/>
  <c r="D49" i="8" s="1"/>
  <c r="C48" i="8"/>
  <c r="C47" i="8"/>
  <c r="D47" i="8" s="1"/>
  <c r="E47" i="8" s="1"/>
  <c r="G47" i="8" s="1"/>
  <c r="C46" i="8"/>
  <c r="C30" i="8"/>
  <c r="B30" i="8"/>
  <c r="C29" i="8"/>
  <c r="B29" i="8"/>
  <c r="C28" i="8"/>
  <c r="B28" i="8"/>
  <c r="B27" i="8"/>
  <c r="C26" i="8"/>
  <c r="C25" i="8"/>
  <c r="B25" i="8"/>
  <c r="C24" i="8"/>
  <c r="B24" i="8"/>
  <c r="E1" i="8"/>
  <c r="G1" i="7"/>
  <c r="F120" i="6"/>
  <c r="E120" i="6"/>
  <c r="D120" i="6"/>
  <c r="C120" i="6"/>
  <c r="B120" i="6"/>
  <c r="F115" i="6"/>
  <c r="E115" i="6"/>
  <c r="D115" i="6"/>
  <c r="C115" i="6"/>
  <c r="F105" i="6"/>
  <c r="E105" i="6"/>
  <c r="D105" i="6"/>
  <c r="C105" i="6"/>
  <c r="B105" i="6"/>
  <c r="F103" i="6"/>
  <c r="E103" i="6"/>
  <c r="D103" i="6"/>
  <c r="C103" i="6"/>
  <c r="B103" i="6"/>
  <c r="F89" i="6"/>
  <c r="F64" i="6"/>
  <c r="F17" i="6"/>
  <c r="E3" i="6"/>
  <c r="B18" i="5"/>
  <c r="I17" i="5"/>
  <c r="I13" i="5"/>
  <c r="I10" i="5"/>
  <c r="H8" i="5"/>
  <c r="H21" i="5" s="1"/>
  <c r="G8" i="5"/>
  <c r="F8" i="5"/>
  <c r="E8" i="5"/>
  <c r="B7" i="5"/>
  <c r="B8" i="5" s="1"/>
  <c r="G1" i="5"/>
  <c r="B28" i="4"/>
  <c r="G88" i="3"/>
  <c r="F74" i="3"/>
  <c r="G74" i="3" s="1"/>
  <c r="D73" i="3"/>
  <c r="E73" i="3" s="1"/>
  <c r="F73" i="3" s="1"/>
  <c r="D72" i="3"/>
  <c r="E72" i="3" s="1"/>
  <c r="F72" i="3" s="1"/>
  <c r="D71" i="3"/>
  <c r="E71" i="3" s="1"/>
  <c r="F71" i="3" s="1"/>
  <c r="D70" i="3"/>
  <c r="E70" i="3" s="1"/>
  <c r="F70" i="3" s="1"/>
  <c r="D69" i="3"/>
  <c r="E69" i="3" s="1"/>
  <c r="D68" i="3"/>
  <c r="E68" i="3" s="1"/>
  <c r="F68" i="3" s="1"/>
  <c r="E65" i="3"/>
  <c r="D65" i="3"/>
  <c r="G65" i="3" s="1"/>
  <c r="F61" i="3"/>
  <c r="G61" i="3" s="1"/>
  <c r="B7" i="8" s="1"/>
  <c r="F56" i="3"/>
  <c r="E56" i="3"/>
  <c r="E55" i="3"/>
  <c r="F55" i="3" s="1"/>
  <c r="F54" i="3"/>
  <c r="E54" i="3"/>
  <c r="E53" i="3"/>
  <c r="F53" i="3" s="1"/>
  <c r="F52" i="3"/>
  <c r="E52" i="3"/>
  <c r="E51" i="3"/>
  <c r="D88" i="3" s="1"/>
  <c r="H45" i="3"/>
  <c r="E45" i="3"/>
  <c r="H44" i="3"/>
  <c r="G44" i="3"/>
  <c r="I44" i="3" s="1"/>
  <c r="F44" i="3"/>
  <c r="H43" i="3"/>
  <c r="G43" i="3"/>
  <c r="I43" i="3" s="1"/>
  <c r="F43" i="3"/>
  <c r="H42" i="3"/>
  <c r="G42" i="3"/>
  <c r="F42" i="3"/>
  <c r="E42" i="3"/>
  <c r="E41" i="3"/>
  <c r="G41" i="3" s="1"/>
  <c r="E40" i="3"/>
  <c r="G39" i="3"/>
  <c r="F39" i="3"/>
  <c r="H39" i="3" s="1"/>
  <c r="E39" i="3"/>
  <c r="G38" i="3"/>
  <c r="I38" i="3" s="1"/>
  <c r="E38" i="3"/>
  <c r="F38" i="3" s="1"/>
  <c r="H38" i="3" s="1"/>
  <c r="E37" i="3"/>
  <c r="G37" i="3" s="1"/>
  <c r="E36" i="3"/>
  <c r="G35" i="3"/>
  <c r="F35" i="3"/>
  <c r="H35" i="3" s="1"/>
  <c r="E35" i="3"/>
  <c r="G34" i="3"/>
  <c r="I34" i="3" s="1"/>
  <c r="E34" i="3"/>
  <c r="F34" i="3" s="1"/>
  <c r="H34" i="3" s="1"/>
  <c r="H33" i="3"/>
  <c r="I33" i="3" s="1"/>
  <c r="G33" i="3"/>
  <c r="F33" i="3"/>
  <c r="E32" i="3"/>
  <c r="G32" i="3" s="1"/>
  <c r="I31" i="3"/>
  <c r="G31" i="3"/>
  <c r="F31" i="3"/>
  <c r="H31" i="3" s="1"/>
  <c r="E30" i="3"/>
  <c r="G29" i="3"/>
  <c r="F29" i="3"/>
  <c r="H29" i="3" s="1"/>
  <c r="E29" i="3"/>
  <c r="G28" i="3"/>
  <c r="I28" i="3" s="1"/>
  <c r="E28" i="3"/>
  <c r="F28" i="3" s="1"/>
  <c r="H28" i="3" s="1"/>
  <c r="E27" i="3"/>
  <c r="G27" i="3" s="1"/>
  <c r="E26" i="3"/>
  <c r="G25" i="3"/>
  <c r="F25" i="3"/>
  <c r="H25" i="3" s="1"/>
  <c r="E25" i="3"/>
  <c r="G24" i="3"/>
  <c r="I24" i="3" s="1"/>
  <c r="E24" i="3"/>
  <c r="F24" i="3" s="1"/>
  <c r="H24" i="3" s="1"/>
  <c r="E23" i="3"/>
  <c r="G23" i="3" s="1"/>
  <c r="E22" i="3"/>
  <c r="G21" i="3"/>
  <c r="I21" i="3" s="1"/>
  <c r="F21" i="3"/>
  <c r="H21" i="3" s="1"/>
  <c r="E21" i="3"/>
  <c r="G20" i="3"/>
  <c r="E20" i="3"/>
  <c r="F20" i="3" s="1"/>
  <c r="H20" i="3" s="1"/>
  <c r="E19" i="3"/>
  <c r="G19" i="3" s="1"/>
  <c r="F18" i="3"/>
  <c r="H18" i="3" s="1"/>
  <c r="E18" i="3"/>
  <c r="H16" i="3"/>
  <c r="G16" i="3"/>
  <c r="I16" i="3" s="1"/>
  <c r="F16" i="3"/>
  <c r="G15" i="3"/>
  <c r="H14" i="3"/>
  <c r="I14" i="3" s="1"/>
  <c r="G14" i="3"/>
  <c r="F14" i="3"/>
  <c r="H13" i="3"/>
  <c r="I13" i="3" s="1"/>
  <c r="G13" i="3"/>
  <c r="F13" i="3"/>
  <c r="H12" i="3"/>
  <c r="I12" i="3" s="1"/>
  <c r="G12" i="3"/>
  <c r="F12" i="3"/>
  <c r="H11" i="3"/>
  <c r="I11" i="3" s="1"/>
  <c r="G11" i="3"/>
  <c r="F11" i="3"/>
  <c r="H10" i="3"/>
  <c r="I10" i="3" s="1"/>
  <c r="G10" i="3"/>
  <c r="F10" i="3"/>
  <c r="H9" i="3"/>
  <c r="I9" i="3" s="1"/>
  <c r="G8" i="3"/>
  <c r="I8" i="3" s="1"/>
  <c r="F8" i="3"/>
  <c r="H8" i="3" s="1"/>
  <c r="E8" i="3"/>
  <c r="H7" i="3"/>
  <c r="G7" i="3"/>
  <c r="I7" i="3" s="1"/>
  <c r="F7" i="3"/>
  <c r="E7" i="3"/>
  <c r="E6" i="3"/>
  <c r="G6" i="3" s="1"/>
  <c r="I5" i="3"/>
  <c r="F5" i="3"/>
  <c r="H5" i="3" s="1"/>
  <c r="E5" i="3"/>
  <c r="G5" i="3" s="1"/>
  <c r="F23" i="2"/>
  <c r="E23" i="2"/>
  <c r="D23" i="2"/>
  <c r="D22" i="2"/>
  <c r="E22" i="2" s="1"/>
  <c r="D21" i="2"/>
  <c r="F20" i="2"/>
  <c r="E20" i="2"/>
  <c r="D20" i="2"/>
  <c r="F19" i="2"/>
  <c r="E19" i="2"/>
  <c r="D19" i="2"/>
  <c r="E18" i="2"/>
  <c r="D18" i="2"/>
  <c r="B268" i="1"/>
  <c r="B89" i="6" s="1"/>
  <c r="B267" i="1"/>
  <c r="E66" i="6" s="1"/>
  <c r="C260" i="1"/>
  <c r="C257" i="1"/>
  <c r="E17" i="6" s="1"/>
  <c r="B257" i="1"/>
  <c r="B260" i="1" s="1"/>
  <c r="B250" i="1"/>
  <c r="C247" i="1"/>
  <c r="B247" i="1"/>
  <c r="B16" i="6" s="1"/>
  <c r="C235" i="1"/>
  <c r="B235" i="1"/>
  <c r="B85" i="6" s="1"/>
  <c r="C234" i="1"/>
  <c r="B234" i="1"/>
  <c r="B64" i="6" s="1"/>
  <c r="C233" i="1"/>
  <c r="C236" i="1" s="1"/>
  <c r="E14" i="6" s="1"/>
  <c r="B233" i="1"/>
  <c r="B38" i="6" s="1"/>
  <c r="H202" i="1"/>
  <c r="F202" i="1"/>
  <c r="I182" i="1"/>
  <c r="G182" i="1"/>
  <c r="D170" i="1"/>
  <c r="D175" i="1" s="1"/>
  <c r="D169" i="1"/>
  <c r="C164" i="1"/>
  <c r="D144" i="1"/>
  <c r="D149" i="1" s="1"/>
  <c r="D143" i="1"/>
  <c r="H139" i="1"/>
  <c r="D136" i="1" s="1"/>
  <c r="C138" i="1"/>
  <c r="D135" i="1"/>
  <c r="D161" i="1" s="1"/>
  <c r="D164" i="1" s="1"/>
  <c r="D167" i="1" s="1"/>
  <c r="D172" i="1" s="1"/>
  <c r="B124" i="1"/>
  <c r="B95" i="1"/>
  <c r="B88" i="1"/>
  <c r="B83" i="1"/>
  <c r="D83" i="1" s="1"/>
  <c r="B81" i="1"/>
  <c r="B84" i="1" s="1"/>
  <c r="B76" i="1"/>
  <c r="B74" i="1"/>
  <c r="B77" i="1" s="1"/>
  <c r="B69" i="1"/>
  <c r="C65" i="1"/>
  <c r="B65" i="1"/>
  <c r="D86" i="1" s="1"/>
  <c r="D58" i="1"/>
  <c r="D57" i="1"/>
  <c r="F56" i="1"/>
  <c r="E56" i="1"/>
  <c r="D56" i="1"/>
  <c r="E55" i="1"/>
  <c r="F55" i="1" s="1"/>
  <c r="D55" i="1"/>
  <c r="D54" i="1"/>
  <c r="D53" i="1"/>
  <c r="C40" i="1"/>
  <c r="G39" i="1"/>
  <c r="F39" i="1"/>
  <c r="D39" i="1"/>
  <c r="F38" i="1"/>
  <c r="G38" i="1" s="1"/>
  <c r="D38" i="1"/>
  <c r="D37" i="1"/>
  <c r="F37" i="1" s="1"/>
  <c r="G37" i="1" s="1"/>
  <c r="D36" i="1"/>
  <c r="D40" i="1" s="1"/>
  <c r="C25" i="1"/>
  <c r="G24" i="1"/>
  <c r="F24" i="1"/>
  <c r="D24" i="1"/>
  <c r="F23" i="1"/>
  <c r="G23" i="1" s="1"/>
  <c r="D23" i="1"/>
  <c r="D22" i="1"/>
  <c r="F22" i="1" s="1"/>
  <c r="G22" i="1" s="1"/>
  <c r="D21" i="1"/>
  <c r="D25" i="1" s="1"/>
  <c r="C5" i="1"/>
  <c r="D12" i="5" l="1"/>
  <c r="C9" i="16"/>
  <c r="B22" i="5"/>
  <c r="B5" i="5"/>
  <c r="F14" i="18"/>
  <c r="C8" i="18"/>
  <c r="D8" i="18" s="1"/>
  <c r="F8" i="18" s="1"/>
  <c r="C12" i="18"/>
  <c r="D12" i="18" s="1"/>
  <c r="F12" i="18" s="1"/>
  <c r="C6" i="18"/>
  <c r="D6" i="18" s="1"/>
  <c r="F6" i="18" s="1"/>
  <c r="C10" i="18"/>
  <c r="D10" i="18" s="1"/>
  <c r="F10" i="18" s="1"/>
  <c r="C4" i="18"/>
  <c r="D4" i="18" s="1"/>
  <c r="F4" i="18" s="1"/>
  <c r="C5" i="18"/>
  <c r="D5" i="18" s="1"/>
  <c r="F5" i="18" s="1"/>
  <c r="C13" i="18"/>
  <c r="D13" i="18" s="1"/>
  <c r="F13" i="18" s="1"/>
  <c r="E75" i="3"/>
  <c r="E76" i="3" s="1"/>
  <c r="C13" i="13"/>
  <c r="D13" i="13" s="1"/>
  <c r="G6" i="9"/>
  <c r="G7" i="16" s="1"/>
  <c r="C7" i="16"/>
  <c r="D7" i="9"/>
  <c r="B6" i="9"/>
  <c r="D6" i="9"/>
  <c r="G7" i="9"/>
  <c r="G9" i="16" s="1"/>
  <c r="F81" i="1"/>
  <c r="F80" i="6"/>
  <c r="B80" i="6"/>
  <c r="E80" i="6"/>
  <c r="C80" i="6"/>
  <c r="F83" i="1"/>
  <c r="D74" i="1"/>
  <c r="D75" i="1"/>
  <c r="D76" i="1"/>
  <c r="F76" i="1" s="1"/>
  <c r="D73" i="1"/>
  <c r="D80" i="1"/>
  <c r="D82" i="1"/>
  <c r="F82" i="1" s="1"/>
  <c r="D81" i="1"/>
  <c r="C261" i="1"/>
  <c r="F104" i="6"/>
  <c r="E104" i="6"/>
  <c r="F74" i="1"/>
  <c r="B236" i="1"/>
  <c r="B14" i="6" s="1"/>
  <c r="F16" i="6"/>
  <c r="E16" i="6"/>
  <c r="C250" i="1"/>
  <c r="C251" i="1" s="1"/>
  <c r="F18" i="2"/>
  <c r="E21" i="2"/>
  <c r="F21" i="2" s="1"/>
  <c r="B45" i="8"/>
  <c r="B12" i="8"/>
  <c r="B21" i="5"/>
  <c r="C16" i="6"/>
  <c r="C104" i="6"/>
  <c r="I20" i="3"/>
  <c r="E17" i="3"/>
  <c r="G22" i="3"/>
  <c r="F22" i="3"/>
  <c r="I25" i="3"/>
  <c r="I35" i="3"/>
  <c r="I42" i="3"/>
  <c r="G18" i="3"/>
  <c r="I18" i="3" s="1"/>
  <c r="G71" i="3"/>
  <c r="G73" i="3"/>
  <c r="E58" i="1"/>
  <c r="F58" i="1" s="1"/>
  <c r="F73" i="1"/>
  <c r="F21" i="1"/>
  <c r="G21" i="1" s="1"/>
  <c r="F36" i="1"/>
  <c r="G36" i="1" s="1"/>
  <c r="E53" i="1"/>
  <c r="F53" i="1" s="1"/>
  <c r="E57" i="1"/>
  <c r="F57" i="1" s="1"/>
  <c r="C69" i="1"/>
  <c r="F75" i="1"/>
  <c r="F80" i="1"/>
  <c r="C97" i="1"/>
  <c r="C99" i="1"/>
  <c r="D138" i="1"/>
  <c r="D141" i="1" s="1"/>
  <c r="D146" i="1" s="1"/>
  <c r="B261" i="1"/>
  <c r="G26" i="3"/>
  <c r="F26" i="3"/>
  <c r="H26" i="3" s="1"/>
  <c r="I29" i="3"/>
  <c r="G36" i="3"/>
  <c r="F36" i="3"/>
  <c r="H36" i="3" s="1"/>
  <c r="I39" i="3"/>
  <c r="B8" i="8"/>
  <c r="D5" i="11" s="1"/>
  <c r="B30" i="13" s="1"/>
  <c r="B9" i="15" s="1"/>
  <c r="C87" i="3"/>
  <c r="B26" i="8" s="1"/>
  <c r="F69" i="3"/>
  <c r="F75" i="3" s="1"/>
  <c r="E54" i="1"/>
  <c r="F54" i="1" s="1"/>
  <c r="C88" i="1"/>
  <c r="B98" i="1"/>
  <c r="B251" i="1"/>
  <c r="F22" i="2"/>
  <c r="D87" i="1"/>
  <c r="C178" i="1"/>
  <c r="C165" i="1"/>
  <c r="C152" i="1"/>
  <c r="C139" i="1"/>
  <c r="D139" i="1" s="1"/>
  <c r="D142" i="1" s="1"/>
  <c r="D147" i="1" s="1"/>
  <c r="D152" i="1" s="1"/>
  <c r="D148" i="1"/>
  <c r="C151" i="1"/>
  <c r="D162" i="1"/>
  <c r="D165" i="1" s="1"/>
  <c r="D168" i="1" s="1"/>
  <c r="D173" i="1" s="1"/>
  <c r="D178" i="1" s="1"/>
  <c r="D174" i="1"/>
  <c r="C181" i="1" s="1"/>
  <c r="C177" i="1"/>
  <c r="C14" i="6"/>
  <c r="F14" i="6"/>
  <c r="F85" i="6"/>
  <c r="E85" i="6"/>
  <c r="C85" i="6"/>
  <c r="G30" i="3"/>
  <c r="F30" i="3"/>
  <c r="H30" i="3" s="1"/>
  <c r="G40" i="3"/>
  <c r="F40" i="3"/>
  <c r="H40" i="3" s="1"/>
  <c r="G68" i="3"/>
  <c r="G70" i="3"/>
  <c r="G72" i="3"/>
  <c r="E21" i="5"/>
  <c r="C17" i="6"/>
  <c r="E64" i="6"/>
  <c r="F6" i="3"/>
  <c r="H6" i="3" s="1"/>
  <c r="E15" i="3"/>
  <c r="F19" i="3"/>
  <c r="F23" i="3"/>
  <c r="H23" i="3" s="1"/>
  <c r="I23" i="3" s="1"/>
  <c r="F27" i="3"/>
  <c r="H27" i="3" s="1"/>
  <c r="I27" i="3" s="1"/>
  <c r="F32" i="3"/>
  <c r="H32" i="3" s="1"/>
  <c r="I32" i="3" s="1"/>
  <c r="F37" i="3"/>
  <c r="H37" i="3" s="1"/>
  <c r="I37" i="3" s="1"/>
  <c r="F41" i="3"/>
  <c r="H41" i="3" s="1"/>
  <c r="I41" i="3" s="1"/>
  <c r="F51" i="3"/>
  <c r="F21" i="5"/>
  <c r="E89" i="6"/>
  <c r="C66" i="6"/>
  <c r="C89" i="6"/>
  <c r="F66" i="6"/>
  <c r="B66" i="6"/>
  <c r="G21" i="5"/>
  <c r="C64" i="6"/>
  <c r="B31" i="8"/>
  <c r="E49" i="8"/>
  <c r="G49" i="8" s="1"/>
  <c r="F7" i="9"/>
  <c r="F9" i="16" s="1"/>
  <c r="E9" i="16"/>
  <c r="F6" i="9"/>
  <c r="F7" i="16" s="1"/>
  <c r="C12" i="13" l="1"/>
  <c r="B7" i="16"/>
  <c r="D28" i="9"/>
  <c r="D9" i="16"/>
  <c r="B22" i="18"/>
  <c r="F16" i="18"/>
  <c r="F18" i="18" s="1"/>
  <c r="D6" i="11" s="1"/>
  <c r="F26" i="16" s="1"/>
  <c r="B15" i="11"/>
  <c r="D16" i="11" s="1"/>
  <c r="B16" i="11"/>
  <c r="B14" i="11"/>
  <c r="D15" i="11" s="1"/>
  <c r="B13" i="11"/>
  <c r="E12" i="5"/>
  <c r="D7" i="16"/>
  <c r="E11" i="5"/>
  <c r="F11" i="5"/>
  <c r="B12" i="13"/>
  <c r="D80" i="3"/>
  <c r="C83" i="6"/>
  <c r="D19" i="7" s="1"/>
  <c r="D8" i="14" s="1"/>
  <c r="F83" i="6"/>
  <c r="G19" i="7" s="1"/>
  <c r="G8" i="14" s="1"/>
  <c r="E62" i="6"/>
  <c r="C62" i="6"/>
  <c r="E83" i="6"/>
  <c r="F19" i="7" s="1"/>
  <c r="F8" i="14" s="1"/>
  <c r="F62" i="6"/>
  <c r="E19" i="7"/>
  <c r="E8" i="14" s="1"/>
  <c r="F59" i="6"/>
  <c r="B59" i="6"/>
  <c r="E59" i="6"/>
  <c r="C59" i="6"/>
  <c r="G11" i="5"/>
  <c r="H11" i="5"/>
  <c r="I30" i="3"/>
  <c r="C100" i="1"/>
  <c r="C101" i="1" s="1"/>
  <c r="B14" i="8"/>
  <c r="F76" i="3"/>
  <c r="G76" i="3" s="1"/>
  <c r="I26" i="3"/>
  <c r="F84" i="1"/>
  <c r="I6" i="3"/>
  <c r="G17" i="3"/>
  <c r="I22" i="3"/>
  <c r="B23" i="5"/>
  <c r="B48" i="8"/>
  <c r="D84" i="1"/>
  <c r="F28" i="9"/>
  <c r="H12" i="5"/>
  <c r="G12" i="5"/>
  <c r="C184" i="1"/>
  <c r="C183" i="1"/>
  <c r="F38" i="6"/>
  <c r="E38" i="6"/>
  <c r="C38" i="6"/>
  <c r="B46" i="8"/>
  <c r="B201" i="1"/>
  <c r="B102" i="6"/>
  <c r="E98" i="1"/>
  <c r="F98" i="1" s="1"/>
  <c r="F99" i="1"/>
  <c r="E99" i="1" s="1"/>
  <c r="B104" i="6" s="1"/>
  <c r="F97" i="1"/>
  <c r="F100" i="1" s="1"/>
  <c r="C102" i="6"/>
  <c r="F102" i="6"/>
  <c r="E102" i="6"/>
  <c r="B83" i="6"/>
  <c r="C19" i="7" s="1"/>
  <c r="C8" i="14" s="1"/>
  <c r="B62" i="6"/>
  <c r="C98" i="1"/>
  <c r="E8" i="6"/>
  <c r="E109" i="6" s="1"/>
  <c r="D109" i="6"/>
  <c r="C8" i="6"/>
  <c r="C109" i="6" s="1"/>
  <c r="D218" i="1"/>
  <c r="C218" i="1" s="1"/>
  <c r="B27" i="1"/>
  <c r="F8" i="6"/>
  <c r="F109" i="6" s="1"/>
  <c r="H22" i="3"/>
  <c r="F17" i="3"/>
  <c r="H17" i="3" s="1"/>
  <c r="D177" i="1"/>
  <c r="C11" i="5"/>
  <c r="D11" i="5"/>
  <c r="E28" i="9"/>
  <c r="F12" i="5"/>
  <c r="G28" i="9"/>
  <c r="F15" i="3"/>
  <c r="H15" i="3" s="1"/>
  <c r="I15" i="3" s="1"/>
  <c r="H19" i="3"/>
  <c r="I19" i="3" s="1"/>
  <c r="I40" i="3"/>
  <c r="B33" i="8"/>
  <c r="I36" i="3"/>
  <c r="C154" i="1"/>
  <c r="D151" i="1"/>
  <c r="F77" i="1"/>
  <c r="G69" i="3"/>
  <c r="G75" i="3" s="1"/>
  <c r="D69" i="1"/>
  <c r="D45" i="8"/>
  <c r="D77" i="1"/>
  <c r="D8" i="11" l="1"/>
  <c r="E7" i="11" s="1"/>
  <c r="B23" i="11"/>
  <c r="C26" i="16"/>
  <c r="D32" i="11"/>
  <c r="K32" i="11" s="1"/>
  <c r="D24" i="11"/>
  <c r="D23" i="11"/>
  <c r="C29" i="13"/>
  <c r="D29" i="13" s="1"/>
  <c r="D26" i="16"/>
  <c r="E26" i="16"/>
  <c r="G26" i="16"/>
  <c r="D30" i="13"/>
  <c r="B22" i="11"/>
  <c r="D14" i="11"/>
  <c r="D21" i="11" s="1"/>
  <c r="G21" i="11" s="1"/>
  <c r="I14" i="11"/>
  <c r="I15" i="11"/>
  <c r="I13" i="11"/>
  <c r="D12" i="13"/>
  <c r="E13" i="6"/>
  <c r="F8" i="7" s="1"/>
  <c r="C13" i="6"/>
  <c r="D8" i="7" s="1"/>
  <c r="F13" i="6"/>
  <c r="G8" i="7" s="1"/>
  <c r="B8" i="6"/>
  <c r="B109" i="6" s="1"/>
  <c r="F119" i="6"/>
  <c r="F106" i="6"/>
  <c r="A73" i="13" s="1"/>
  <c r="B119" i="6"/>
  <c r="B106" i="6"/>
  <c r="B203" i="1"/>
  <c r="B202" i="1"/>
  <c r="B204" i="1" s="1"/>
  <c r="F7" i="6"/>
  <c r="G6" i="7" s="1"/>
  <c r="D217" i="1"/>
  <c r="E7" i="6"/>
  <c r="F6" i="7" s="1"/>
  <c r="D7" i="6"/>
  <c r="E6" i="7" s="1"/>
  <c r="C7" i="6"/>
  <c r="D6" i="7" s="1"/>
  <c r="C102" i="1"/>
  <c r="C185" i="1"/>
  <c r="C190" i="1" s="1"/>
  <c r="B36" i="6" s="1"/>
  <c r="C186" i="1"/>
  <c r="C189" i="1" s="1"/>
  <c r="I12" i="5"/>
  <c r="I11" i="5"/>
  <c r="B31" i="1"/>
  <c r="B32" i="1"/>
  <c r="C119" i="6"/>
  <c r="C106" i="6"/>
  <c r="D46" i="8"/>
  <c r="E46" i="8" s="1"/>
  <c r="D48" i="8"/>
  <c r="E48" i="8" s="1"/>
  <c r="I17" i="3"/>
  <c r="E80" i="3" s="1"/>
  <c r="C80" i="3"/>
  <c r="B16" i="8" s="1"/>
  <c r="E45" i="8"/>
  <c r="D119" i="6"/>
  <c r="D106" i="6"/>
  <c r="E97" i="1"/>
  <c r="E100" i="1" s="1"/>
  <c r="B97" i="1"/>
  <c r="B100" i="1" s="1"/>
  <c r="B10" i="9"/>
  <c r="C14" i="5" s="1"/>
  <c r="D10" i="9"/>
  <c r="C10" i="9"/>
  <c r="C7" i="5"/>
  <c r="C182" i="1"/>
  <c r="C187" i="1"/>
  <c r="C191" i="1" s="1"/>
  <c r="G36" i="6" s="1"/>
  <c r="B13" i="6"/>
  <c r="C8" i="7" s="1"/>
  <c r="B104" i="1"/>
  <c r="E119" i="6"/>
  <c r="E106" i="6"/>
  <c r="B103" i="1"/>
  <c r="B25" i="5"/>
  <c r="C11" i="6"/>
  <c r="F11" i="6"/>
  <c r="E11" i="6"/>
  <c r="B44" i="1"/>
  <c r="B41" i="1"/>
  <c r="G41" i="1" s="1"/>
  <c r="B33" i="1" l="1"/>
  <c r="G31" i="6" s="1"/>
  <c r="C22" i="7"/>
  <c r="A49" i="13"/>
  <c r="A160" i="6"/>
  <c r="C160" i="6" s="1"/>
  <c r="C74" i="13"/>
  <c r="C75" i="13"/>
  <c r="C76" i="13"/>
  <c r="C77" i="13"/>
  <c r="C78" i="13"/>
  <c r="C79" i="13"/>
  <c r="C80" i="13"/>
  <c r="C81" i="13"/>
  <c r="C82" i="13"/>
  <c r="C83" i="13"/>
  <c r="C84" i="13"/>
  <c r="C85" i="13"/>
  <c r="C86" i="13"/>
  <c r="C87" i="13"/>
  <c r="C88" i="13"/>
  <c r="C89" i="13"/>
  <c r="C90" i="13"/>
  <c r="C91" i="13"/>
  <c r="C92" i="13"/>
  <c r="C93" i="13"/>
  <c r="C73" i="13"/>
  <c r="C8" i="15"/>
  <c r="H8" i="15" s="1"/>
  <c r="G25" i="16"/>
  <c r="G30" i="16" s="1"/>
  <c r="K23" i="11"/>
  <c r="G24" i="11"/>
  <c r="H9" i="15"/>
  <c r="G46" i="8"/>
  <c r="C27" i="11"/>
  <c r="C31" i="11"/>
  <c r="C26" i="11"/>
  <c r="C28" i="11"/>
  <c r="C24" i="11"/>
  <c r="C30" i="11"/>
  <c r="C25" i="11"/>
  <c r="C29" i="11"/>
  <c r="I21" i="11"/>
  <c r="F4" i="12"/>
  <c r="G22" i="7"/>
  <c r="G13" i="14" s="1"/>
  <c r="E4" i="12"/>
  <c r="F22" i="7"/>
  <c r="F13" i="14" s="1"/>
  <c r="E22" i="7"/>
  <c r="E13" i="14" s="1"/>
  <c r="D4" i="12"/>
  <c r="C4" i="12"/>
  <c r="D22" i="7"/>
  <c r="D13" i="14" s="1"/>
  <c r="B4" i="12"/>
  <c r="C13" i="14"/>
  <c r="B11" i="6"/>
  <c r="B45" i="1"/>
  <c r="B46" i="1" s="1"/>
  <c r="B34" i="6" s="1"/>
  <c r="B101" i="1"/>
  <c r="G48" i="8"/>
  <c r="K53" i="2"/>
  <c r="B53" i="2"/>
  <c r="E108" i="6"/>
  <c r="C15" i="6"/>
  <c r="E202" i="1"/>
  <c r="F15" i="6"/>
  <c r="B15" i="6"/>
  <c r="E15" i="6"/>
  <c r="B205" i="1"/>
  <c r="G202" i="1"/>
  <c r="D30" i="6"/>
  <c r="C30" i="6"/>
  <c r="F30" i="6"/>
  <c r="B30" i="6"/>
  <c r="E30" i="6"/>
  <c r="C30" i="9"/>
  <c r="D14" i="5"/>
  <c r="G45" i="8"/>
  <c r="B50" i="8"/>
  <c r="F31" i="6"/>
  <c r="B31" i="6"/>
  <c r="E31" i="6"/>
  <c r="C31" i="6"/>
  <c r="A184" i="6"/>
  <c r="C34" i="6"/>
  <c r="F34" i="6"/>
  <c r="E34" i="6"/>
  <c r="B30" i="9"/>
  <c r="D108" i="6"/>
  <c r="D51" i="2"/>
  <c r="F10" i="9"/>
  <c r="D30" i="9"/>
  <c r="E10" i="9"/>
  <c r="G10" i="9"/>
  <c r="E14" i="5"/>
  <c r="C108" i="6"/>
  <c r="C51" i="2"/>
  <c r="F108" i="6"/>
  <c r="F51" i="2"/>
  <c r="C36" i="6"/>
  <c r="F36" i="6"/>
  <c r="E36" i="6"/>
  <c r="B19" i="8"/>
  <c r="B51" i="8" l="1"/>
  <c r="B21" i="8"/>
  <c r="C52" i="13"/>
  <c r="C57" i="13"/>
  <c r="C63" i="13"/>
  <c r="C55" i="13"/>
  <c r="C69" i="13"/>
  <c r="C61" i="13"/>
  <c r="C51" i="13"/>
  <c r="C65" i="13"/>
  <c r="C67" i="13"/>
  <c r="C59" i="13"/>
  <c r="C49" i="13"/>
  <c r="C66" i="13"/>
  <c r="C62" i="13"/>
  <c r="C58" i="13"/>
  <c r="C54" i="13"/>
  <c r="C50" i="13"/>
  <c r="C53" i="13"/>
  <c r="C68" i="13"/>
  <c r="C64" i="13"/>
  <c r="C60" i="13"/>
  <c r="C56" i="13"/>
  <c r="I6" i="17"/>
  <c r="D25" i="18"/>
  <c r="C9" i="14"/>
  <c r="E28" i="11"/>
  <c r="E26" i="11"/>
  <c r="I38" i="11"/>
  <c r="K21" i="11"/>
  <c r="D31" i="11"/>
  <c r="G32" i="11" s="1"/>
  <c r="I10" i="17" s="1"/>
  <c r="D28" i="11"/>
  <c r="K28" i="11" s="1"/>
  <c r="E24" i="11"/>
  <c r="B27" i="16" s="1"/>
  <c r="D27" i="11"/>
  <c r="D29" i="11"/>
  <c r="K29" i="11" s="1"/>
  <c r="D30" i="11"/>
  <c r="D26" i="11"/>
  <c r="K26" i="11" s="1"/>
  <c r="K24" i="11"/>
  <c r="D25" i="11"/>
  <c r="K30" i="11"/>
  <c r="E30" i="11"/>
  <c r="K31" i="11"/>
  <c r="E32" i="11"/>
  <c r="B24" i="11"/>
  <c r="B29" i="16" s="1"/>
  <c r="B28" i="16" s="1"/>
  <c r="C38" i="11"/>
  <c r="C26" i="18"/>
  <c r="C27" i="18"/>
  <c r="C10" i="15"/>
  <c r="G4" i="12"/>
  <c r="G10" i="15"/>
  <c r="E10" i="15"/>
  <c r="F10" i="15"/>
  <c r="D10" i="15"/>
  <c r="M51" i="2"/>
  <c r="D216" i="1"/>
  <c r="C216" i="1" s="1"/>
  <c r="B35" i="8"/>
  <c r="K51" i="2"/>
  <c r="C65" i="6"/>
  <c r="F65" i="6"/>
  <c r="E65" i="6"/>
  <c r="B65" i="6"/>
  <c r="B7" i="6"/>
  <c r="C6" i="7" s="1"/>
  <c r="B105" i="1"/>
  <c r="G30" i="6" s="1"/>
  <c r="B102" i="1"/>
  <c r="C53" i="2"/>
  <c r="L53" i="2"/>
  <c r="C204" i="6"/>
  <c r="C203" i="6"/>
  <c r="C202" i="6"/>
  <c r="C201" i="6"/>
  <c r="C200" i="6"/>
  <c r="C199" i="6"/>
  <c r="C198" i="6"/>
  <c r="C197" i="6"/>
  <c r="C196" i="6"/>
  <c r="C195" i="6"/>
  <c r="C194" i="6"/>
  <c r="C193" i="6"/>
  <c r="C192" i="6"/>
  <c r="C191" i="6"/>
  <c r="C190" i="6"/>
  <c r="C189" i="6"/>
  <c r="C188" i="6"/>
  <c r="C187" i="6"/>
  <c r="C186" i="6"/>
  <c r="C185" i="6"/>
  <c r="C184" i="6"/>
  <c r="D50" i="8"/>
  <c r="B52" i="8"/>
  <c r="O51" i="2"/>
  <c r="N53" i="2"/>
  <c r="E53" i="2"/>
  <c r="G30" i="9"/>
  <c r="H14" i="5"/>
  <c r="F30" i="9"/>
  <c r="G14" i="5"/>
  <c r="N51" i="2"/>
  <c r="C208" i="1"/>
  <c r="C209" i="1" s="1"/>
  <c r="B208" i="1"/>
  <c r="B209" i="1" s="1"/>
  <c r="B39" i="6" s="1"/>
  <c r="O53" i="2"/>
  <c r="F53" i="2"/>
  <c r="E30" i="9"/>
  <c r="F14" i="5"/>
  <c r="D51" i="8"/>
  <c r="E51" i="8" s="1"/>
  <c r="M53" i="2"/>
  <c r="D53" i="2"/>
  <c r="C180" i="6"/>
  <c r="C179" i="6"/>
  <c r="C178" i="6"/>
  <c r="C177" i="6"/>
  <c r="C176" i="6"/>
  <c r="C175" i="6"/>
  <c r="C174" i="6"/>
  <c r="C173" i="6"/>
  <c r="C172" i="6"/>
  <c r="C171" i="6"/>
  <c r="C170" i="6"/>
  <c r="C169" i="6"/>
  <c r="C168" i="6"/>
  <c r="C167" i="6"/>
  <c r="C166" i="6"/>
  <c r="C164" i="6"/>
  <c r="C162" i="6"/>
  <c r="C165" i="6"/>
  <c r="C163" i="6"/>
  <c r="C161" i="6"/>
  <c r="L51" i="2"/>
  <c r="E88" i="6"/>
  <c r="F88" i="6"/>
  <c r="C88" i="6"/>
  <c r="B88" i="6"/>
  <c r="E51" i="2"/>
  <c r="C18" i="7" l="1"/>
  <c r="C7" i="14" s="1"/>
  <c r="F18" i="7"/>
  <c r="F7" i="14" s="1"/>
  <c r="G18" i="7"/>
  <c r="G7" i="14" s="1"/>
  <c r="D18" i="7"/>
  <c r="D7" i="14" s="1"/>
  <c r="E18" i="7"/>
  <c r="E7" i="14" s="1"/>
  <c r="D215" i="1"/>
  <c r="C215" i="1" s="1"/>
  <c r="B6" i="13"/>
  <c r="E18" i="15"/>
  <c r="D27" i="16"/>
  <c r="D25" i="16" s="1"/>
  <c r="F18" i="15"/>
  <c r="E27" i="16"/>
  <c r="E25" i="16" s="1"/>
  <c r="C25" i="18"/>
  <c r="B7" i="13"/>
  <c r="I5" i="17"/>
  <c r="G18" i="15"/>
  <c r="F27" i="16"/>
  <c r="F25" i="16" s="1"/>
  <c r="D18" i="15"/>
  <c r="C27" i="16"/>
  <c r="C25" i="16" s="1"/>
  <c r="F24" i="11"/>
  <c r="H24" i="11" s="1"/>
  <c r="D38" i="11"/>
  <c r="G26" i="11"/>
  <c r="I7" i="17" s="1"/>
  <c r="G30" i="11"/>
  <c r="I9" i="17" s="1"/>
  <c r="D29" i="18"/>
  <c r="E29" i="18" s="1"/>
  <c r="F10" i="12" s="1"/>
  <c r="F42" i="13" s="1"/>
  <c r="G9" i="14"/>
  <c r="C18" i="15"/>
  <c r="E38" i="11"/>
  <c r="B25" i="16"/>
  <c r="B30" i="16" s="1"/>
  <c r="G28" i="11"/>
  <c r="I8" i="17" s="1"/>
  <c r="K25" i="11"/>
  <c r="K27" i="11"/>
  <c r="C6" i="5"/>
  <c r="C219" i="1"/>
  <c r="C220" i="1" s="1"/>
  <c r="B25" i="11"/>
  <c r="B26" i="11" s="1"/>
  <c r="C29" i="16" s="1"/>
  <c r="H10" i="15"/>
  <c r="G51" i="8"/>
  <c r="B19" i="16"/>
  <c r="B22" i="16" s="1"/>
  <c r="D6" i="13"/>
  <c r="E39" i="6"/>
  <c r="C39" i="6"/>
  <c r="F39" i="6"/>
  <c r="E50" i="8"/>
  <c r="D52" i="8"/>
  <c r="B108" i="6"/>
  <c r="B51" i="2"/>
  <c r="C8" i="5"/>
  <c r="I6" i="5"/>
  <c r="I14" i="5"/>
  <c r="B4" i="10"/>
  <c r="B36" i="8"/>
  <c r="D21" i="16" l="1"/>
  <c r="E21" i="16"/>
  <c r="C21" i="16"/>
  <c r="H18" i="15"/>
  <c r="L5" i="17"/>
  <c r="I12" i="17"/>
  <c r="D29" i="16"/>
  <c r="D28" i="16" s="1"/>
  <c r="E29" i="16"/>
  <c r="B14" i="16"/>
  <c r="B17" i="16" s="1"/>
  <c r="C14" i="16" s="1"/>
  <c r="B8" i="13"/>
  <c r="B9" i="13" s="1"/>
  <c r="B10" i="13" s="1"/>
  <c r="B25" i="13" s="1"/>
  <c r="E25" i="18"/>
  <c r="B10" i="12" s="1"/>
  <c r="B42" i="13" s="1"/>
  <c r="D26" i="18"/>
  <c r="E26" i="18" s="1"/>
  <c r="C10" i="12" s="1"/>
  <c r="G38" i="11"/>
  <c r="D9" i="14"/>
  <c r="D27" i="18"/>
  <c r="E27" i="18" s="1"/>
  <c r="D10" i="12" s="1"/>
  <c r="D42" i="13" s="1"/>
  <c r="E9" i="14"/>
  <c r="D28" i="18"/>
  <c r="E28" i="18" s="1"/>
  <c r="E10" i="12" s="1"/>
  <c r="E42" i="13" s="1"/>
  <c r="F9" i="14"/>
  <c r="F26" i="11"/>
  <c r="H26" i="11" s="1"/>
  <c r="D219" i="1"/>
  <c r="D222" i="1" s="1"/>
  <c r="B27" i="11"/>
  <c r="B28" i="11" s="1"/>
  <c r="C28" i="16"/>
  <c r="C30" i="16" s="1"/>
  <c r="C19" i="16"/>
  <c r="C22" i="16" s="1"/>
  <c r="B38" i="8"/>
  <c r="C21" i="5"/>
  <c r="C221" i="1"/>
  <c r="B61" i="6" s="1"/>
  <c r="C222" i="1"/>
  <c r="B82" i="6" s="1"/>
  <c r="E52" i="8"/>
  <c r="G50" i="8"/>
  <c r="G52" i="8" s="1"/>
  <c r="D221" i="1"/>
  <c r="G21" i="16" l="1"/>
  <c r="F21" i="16"/>
  <c r="B14" i="15"/>
  <c r="B5" i="17" s="1"/>
  <c r="D220" i="1"/>
  <c r="C42" i="13"/>
  <c r="G10" i="12"/>
  <c r="F28" i="11"/>
  <c r="H28" i="11" s="1"/>
  <c r="C11" i="9"/>
  <c r="B29" i="11"/>
  <c r="B30" i="11" s="1"/>
  <c r="D30" i="16"/>
  <c r="D19" i="16"/>
  <c r="D22" i="16" s="1"/>
  <c r="C61" i="6"/>
  <c r="F61" i="6"/>
  <c r="E61" i="6"/>
  <c r="B12" i="6"/>
  <c r="C7" i="7" s="1"/>
  <c r="D11" i="9"/>
  <c r="E15" i="5" s="1"/>
  <c r="F12" i="6"/>
  <c r="G7" i="7" s="1"/>
  <c r="E12" i="6"/>
  <c r="F7" i="7" s="1"/>
  <c r="B224" i="1"/>
  <c r="E7" i="7"/>
  <c r="C12" i="6"/>
  <c r="D7" i="7" s="1"/>
  <c r="C82" i="6"/>
  <c r="F82" i="6"/>
  <c r="E82" i="6"/>
  <c r="F30" i="11" l="1"/>
  <c r="H30" i="11" s="1"/>
  <c r="B31" i="11"/>
  <c r="B32" i="11" s="1"/>
  <c r="F28" i="16" s="1"/>
  <c r="F30" i="16" s="1"/>
  <c r="E28" i="16"/>
  <c r="E30" i="16" s="1"/>
  <c r="E19" i="16"/>
  <c r="E22" i="16" s="1"/>
  <c r="E12" i="7"/>
  <c r="C227" i="1"/>
  <c r="C226" i="1"/>
  <c r="D226" i="1"/>
  <c r="F12" i="7"/>
  <c r="C12" i="7"/>
  <c r="G11" i="9"/>
  <c r="D31" i="9"/>
  <c r="F11" i="9"/>
  <c r="E11" i="9"/>
  <c r="D12" i="7"/>
  <c r="G12" i="7"/>
  <c r="B11" i="9"/>
  <c r="D15" i="5" s="1"/>
  <c r="F32" i="11" l="1"/>
  <c r="H32" i="11" s="1"/>
  <c r="F19" i="16"/>
  <c r="F22" i="16" s="1"/>
  <c r="E31" i="9"/>
  <c r="F15" i="5"/>
  <c r="B31" i="9"/>
  <c r="B34" i="9" s="1"/>
  <c r="B21" i="13" s="1"/>
  <c r="B17" i="14" s="1"/>
  <c r="C15" i="5"/>
  <c r="B9" i="9"/>
  <c r="B10" i="16" s="1"/>
  <c r="F31" i="9"/>
  <c r="G15" i="5"/>
  <c r="F35" i="6"/>
  <c r="E35" i="6"/>
  <c r="C35" i="6"/>
  <c r="C31" i="9"/>
  <c r="G31" i="9"/>
  <c r="H15" i="5"/>
  <c r="B35" i="6"/>
  <c r="C228" i="1"/>
  <c r="G35" i="6" s="1"/>
  <c r="D5" i="17" l="1"/>
  <c r="B18" i="14"/>
  <c r="B21" i="15"/>
  <c r="B15" i="9"/>
  <c r="B24" i="9" s="1"/>
  <c r="B15" i="15" s="1"/>
  <c r="C5" i="17" s="1"/>
  <c r="B14" i="13"/>
  <c r="G19" i="16"/>
  <c r="G22" i="16" s="1"/>
  <c r="O52" i="2"/>
  <c r="O55" i="2" s="1"/>
  <c r="F52" i="2"/>
  <c r="F55" i="2" s="1"/>
  <c r="N52" i="2"/>
  <c r="N55" i="2" s="1"/>
  <c r="E52" i="2"/>
  <c r="E55" i="2" s="1"/>
  <c r="L52" i="2"/>
  <c r="L55" i="2" s="1"/>
  <c r="C52" i="2"/>
  <c r="C55" i="2" s="1"/>
  <c r="G41" i="6"/>
  <c r="G42" i="6"/>
  <c r="K52" i="2"/>
  <c r="K55" i="2" s="1"/>
  <c r="K56" i="2" s="1"/>
  <c r="C32" i="9" s="1"/>
  <c r="B52" i="2"/>
  <c r="B55" i="2" s="1"/>
  <c r="B56" i="2" s="1"/>
  <c r="C33" i="9" s="1"/>
  <c r="C16" i="7" s="1"/>
  <c r="M52" i="2"/>
  <c r="M55" i="2" s="1"/>
  <c r="D52" i="2"/>
  <c r="D55" i="2" s="1"/>
  <c r="I15" i="5"/>
  <c r="C18" i="5"/>
  <c r="B19" i="14" l="1"/>
  <c r="C16" i="14"/>
  <c r="G5" i="17"/>
  <c r="M5" i="17" s="1"/>
  <c r="N5" i="17" s="1"/>
  <c r="O56" i="2"/>
  <c r="G32" i="9" s="1"/>
  <c r="M56" i="2"/>
  <c r="E32" i="9" s="1"/>
  <c r="D56" i="2"/>
  <c r="E33" i="9" s="1"/>
  <c r="E16" i="7" s="1"/>
  <c r="B22" i="9"/>
  <c r="B25" i="9" s="1"/>
  <c r="B36" i="9" s="1"/>
  <c r="B15" i="13"/>
  <c r="B20" i="13" s="1"/>
  <c r="C56" i="2"/>
  <c r="D33" i="9" s="1"/>
  <c r="D16" i="7" s="1"/>
  <c r="L56" i="2"/>
  <c r="D32" i="9" s="1"/>
  <c r="N56" i="2"/>
  <c r="F32" i="9" s="1"/>
  <c r="C27" i="8"/>
  <c r="B48" i="6"/>
  <c r="B115" i="6" s="1"/>
  <c r="C4" i="10"/>
  <c r="C22" i="5"/>
  <c r="E56" i="2"/>
  <c r="F33" i="9" s="1"/>
  <c r="F56" i="2"/>
  <c r="G33" i="9" s="1"/>
  <c r="C34" i="9"/>
  <c r="C21" i="13" s="1"/>
  <c r="E34" i="9" l="1"/>
  <c r="D21" i="13"/>
  <c r="D34" i="9"/>
  <c r="B23" i="13"/>
  <c r="B22" i="13"/>
  <c r="F16" i="7"/>
  <c r="F34" i="9"/>
  <c r="C31" i="8"/>
  <c r="C33" i="8" s="1"/>
  <c r="C7" i="13" s="1"/>
  <c r="C15" i="16" s="1"/>
  <c r="G16" i="7"/>
  <c r="G34" i="9"/>
  <c r="C23" i="5"/>
  <c r="C8" i="13" l="1"/>
  <c r="C9" i="13" s="1"/>
  <c r="D7" i="13"/>
  <c r="B26" i="13"/>
  <c r="C35" i="8"/>
  <c r="D7" i="5"/>
  <c r="B54" i="8"/>
  <c r="B26" i="7"/>
  <c r="B27" i="7" s="1"/>
  <c r="C25" i="7" s="1"/>
  <c r="D4" i="10"/>
  <c r="C25" i="5"/>
  <c r="C17" i="14" l="1"/>
  <c r="D6" i="17" s="1"/>
  <c r="C14" i="15"/>
  <c r="B6" i="17" s="1"/>
  <c r="D8" i="13"/>
  <c r="B13" i="15"/>
  <c r="B27" i="13"/>
  <c r="B31" i="13" s="1"/>
  <c r="B24" i="17" s="1"/>
  <c r="G4" i="10"/>
  <c r="D8" i="5"/>
  <c r="I7" i="5"/>
  <c r="D54" i="8"/>
  <c r="B57" i="8"/>
  <c r="C36" i="8"/>
  <c r="D16" i="16" l="1"/>
  <c r="E16" i="16"/>
  <c r="C16" i="16"/>
  <c r="C17" i="16" s="1"/>
  <c r="C24" i="17"/>
  <c r="B7" i="15"/>
  <c r="B5" i="15" s="1"/>
  <c r="B32" i="16"/>
  <c r="B31" i="16" s="1"/>
  <c r="B35" i="16" s="1"/>
  <c r="C38" i="8"/>
  <c r="D9" i="13"/>
  <c r="C10" i="13"/>
  <c r="H14" i="15"/>
  <c r="L4" i="10"/>
  <c r="B5" i="10"/>
  <c r="D21" i="5"/>
  <c r="I8" i="5"/>
  <c r="B5" i="11" s="1"/>
  <c r="E54" i="8"/>
  <c r="D57" i="8"/>
  <c r="G16" i="16" l="1"/>
  <c r="F16" i="16"/>
  <c r="D14" i="16"/>
  <c r="D17" i="16" s="1"/>
  <c r="E14" i="16" s="1"/>
  <c r="E17" i="16" s="1"/>
  <c r="F14" i="16" s="1"/>
  <c r="D25" i="15"/>
  <c r="J7" i="17" s="1"/>
  <c r="E25" i="15"/>
  <c r="J8" i="17" s="1"/>
  <c r="G24" i="17"/>
  <c r="F25" i="15"/>
  <c r="J9" i="17" s="1"/>
  <c r="G25" i="15"/>
  <c r="J10" i="17" s="1"/>
  <c r="C25" i="15"/>
  <c r="J6" i="17" s="1"/>
  <c r="J12" i="17" s="1"/>
  <c r="F5" i="11"/>
  <c r="B21" i="14"/>
  <c r="B32" i="13"/>
  <c r="C25" i="13"/>
  <c r="D10" i="13"/>
  <c r="I9" i="10"/>
  <c r="I6" i="10"/>
  <c r="I7" i="10"/>
  <c r="I5" i="10"/>
  <c r="I8" i="10"/>
  <c r="D10" i="6"/>
  <c r="C10" i="6"/>
  <c r="F10" i="6"/>
  <c r="B10" i="6"/>
  <c r="F111" i="1"/>
  <c r="D111" i="1"/>
  <c r="E10" i="6"/>
  <c r="B111" i="1"/>
  <c r="B113" i="1" s="1"/>
  <c r="E57" i="8"/>
  <c r="G54" i="8"/>
  <c r="G57" i="8" s="1"/>
  <c r="I21" i="5"/>
  <c r="M4" i="10"/>
  <c r="F17" i="16" l="1"/>
  <c r="G14" i="16" s="1"/>
  <c r="G17" i="16" s="1"/>
  <c r="B9" i="10"/>
  <c r="B11" i="10" s="1"/>
  <c r="B10" i="17"/>
  <c r="H24" i="17"/>
  <c r="H25" i="15"/>
  <c r="I11" i="10"/>
  <c r="D25" i="13"/>
  <c r="B24" i="15"/>
  <c r="C21" i="6"/>
  <c r="C110" i="6" s="1"/>
  <c r="G18" i="9"/>
  <c r="F21" i="6"/>
  <c r="F110" i="6" s="1"/>
  <c r="E60" i="6"/>
  <c r="D60" i="6"/>
  <c r="C60" i="6"/>
  <c r="F60" i="6"/>
  <c r="B60" i="6"/>
  <c r="E81" i="6"/>
  <c r="D81" i="6"/>
  <c r="C81" i="6"/>
  <c r="B81" i="6"/>
  <c r="F81" i="6"/>
  <c r="D21" i="6"/>
  <c r="D110" i="6" s="1"/>
  <c r="F18" i="9"/>
  <c r="E21" i="6"/>
  <c r="E110" i="6" s="1"/>
  <c r="B115" i="1"/>
  <c r="B118" i="1" s="1"/>
  <c r="B114" i="1"/>
  <c r="B117" i="1" s="1"/>
  <c r="B33" i="6" s="1"/>
  <c r="B21" i="6"/>
  <c r="B22" i="6"/>
  <c r="M18" i="10" l="1"/>
  <c r="B12" i="17"/>
  <c r="L24" i="17" s="1"/>
  <c r="B112" i="6"/>
  <c r="B46" i="6"/>
  <c r="B144" i="6"/>
  <c r="B92" i="6"/>
  <c r="B94" i="6" s="1"/>
  <c r="B129" i="6" s="1"/>
  <c r="B9" i="12" s="1"/>
  <c r="B25" i="6"/>
  <c r="B148" i="6" s="1"/>
  <c r="C33" i="6"/>
  <c r="C144" i="6" s="1"/>
  <c r="F33" i="6"/>
  <c r="F144" i="6" s="1"/>
  <c r="E33" i="6"/>
  <c r="E144" i="6" s="1"/>
  <c r="D70" i="6"/>
  <c r="D72" i="6" s="1"/>
  <c r="C17" i="9"/>
  <c r="B41" i="6"/>
  <c r="B42" i="6" s="1"/>
  <c r="C92" i="6"/>
  <c r="B70" i="6"/>
  <c r="B72" i="6" s="1"/>
  <c r="E70" i="6"/>
  <c r="E72" i="6" s="1"/>
  <c r="B110" i="6"/>
  <c r="E22" i="6"/>
  <c r="D144" i="6"/>
  <c r="D92" i="6"/>
  <c r="D94" i="6" s="1"/>
  <c r="D129" i="6" s="1"/>
  <c r="D9" i="12" s="1"/>
  <c r="F70" i="6"/>
  <c r="F72" i="6" s="1"/>
  <c r="B24" i="6"/>
  <c r="B147" i="6" s="1"/>
  <c r="B37" i="13" s="1"/>
  <c r="D22" i="6"/>
  <c r="D25" i="6" s="1"/>
  <c r="F92" i="6"/>
  <c r="E92" i="6"/>
  <c r="C70" i="6"/>
  <c r="F22" i="6"/>
  <c r="F25" i="6" s="1"/>
  <c r="C22" i="6"/>
  <c r="C25" i="6" s="1"/>
  <c r="B36" i="13" l="1"/>
  <c r="B27" i="15"/>
  <c r="C72" i="6"/>
  <c r="C74" i="6" s="1"/>
  <c r="C149" i="6" s="1"/>
  <c r="C39" i="13" s="1"/>
  <c r="E128" i="6"/>
  <c r="E8" i="12" s="1"/>
  <c r="E75" i="6"/>
  <c r="E150" i="6" s="1"/>
  <c r="E38" i="13" s="1"/>
  <c r="B128" i="6"/>
  <c r="B8" i="12" s="1"/>
  <c r="B75" i="6"/>
  <c r="B150" i="6" s="1"/>
  <c r="B38" i="13" s="1"/>
  <c r="B74" i="6"/>
  <c r="B149" i="6" s="1"/>
  <c r="B39" i="13" s="1"/>
  <c r="F128" i="6"/>
  <c r="F8" i="12" s="1"/>
  <c r="F75" i="6"/>
  <c r="F150" i="6" s="1"/>
  <c r="F38" i="13" s="1"/>
  <c r="D128" i="6"/>
  <c r="D8" i="12" s="1"/>
  <c r="D75" i="6"/>
  <c r="D150" i="6" s="1"/>
  <c r="D38" i="13" s="1"/>
  <c r="E17" i="9"/>
  <c r="E41" i="6"/>
  <c r="E42" i="6" s="1"/>
  <c r="D41" i="6"/>
  <c r="D42" i="6" s="1"/>
  <c r="F41" i="6"/>
  <c r="F42" i="6" s="1"/>
  <c r="E94" i="6"/>
  <c r="E97" i="6" s="1"/>
  <c r="E152" i="6" s="1"/>
  <c r="E40" i="13" s="1"/>
  <c r="F74" i="6"/>
  <c r="F149" i="6" s="1"/>
  <c r="F39" i="13" s="1"/>
  <c r="D96" i="6"/>
  <c r="D151" i="6" s="1"/>
  <c r="D41" i="13" s="1"/>
  <c r="E112" i="6"/>
  <c r="E46" i="6"/>
  <c r="E24" i="6"/>
  <c r="E147" i="6" s="1"/>
  <c r="E37" i="13" s="1"/>
  <c r="E74" i="6"/>
  <c r="E149" i="6" s="1"/>
  <c r="E39" i="13" s="1"/>
  <c r="C12" i="9"/>
  <c r="C13" i="7"/>
  <c r="B49" i="6"/>
  <c r="B116" i="6" s="1"/>
  <c r="D74" i="6"/>
  <c r="D149" i="6" s="1"/>
  <c r="D39" i="13" s="1"/>
  <c r="F17" i="9"/>
  <c r="E25" i="6"/>
  <c r="E148" i="6" s="1"/>
  <c r="E36" i="13" s="1"/>
  <c r="B96" i="6"/>
  <c r="B151" i="6" s="1"/>
  <c r="B41" i="13" s="1"/>
  <c r="D62" i="13" s="1"/>
  <c r="F148" i="6"/>
  <c r="F36" i="13" s="1"/>
  <c r="F112" i="6"/>
  <c r="F46" i="6"/>
  <c r="F24" i="6"/>
  <c r="F147" i="6" s="1"/>
  <c r="F37" i="13" s="1"/>
  <c r="D112" i="6"/>
  <c r="D148" i="6"/>
  <c r="D36" i="13" s="1"/>
  <c r="D46" i="6"/>
  <c r="D24" i="6"/>
  <c r="D147" i="6" s="1"/>
  <c r="D37" i="13" s="1"/>
  <c r="C18" i="9"/>
  <c r="C20" i="9" s="1"/>
  <c r="D17" i="9"/>
  <c r="C41" i="6"/>
  <c r="C42" i="6" s="1"/>
  <c r="C128" i="6"/>
  <c r="C8" i="12" s="1"/>
  <c r="F94" i="6"/>
  <c r="F97" i="6" s="1"/>
  <c r="F152" i="6" s="1"/>
  <c r="F40" i="13" s="1"/>
  <c r="B97" i="6"/>
  <c r="B152" i="6" s="1"/>
  <c r="C112" i="6"/>
  <c r="C46" i="6"/>
  <c r="C148" i="6"/>
  <c r="C36" i="13" s="1"/>
  <c r="C24" i="6"/>
  <c r="C147" i="6" s="1"/>
  <c r="C37" i="13" s="1"/>
  <c r="D97" i="6"/>
  <c r="D152" i="6" s="1"/>
  <c r="D40" i="13" s="1"/>
  <c r="C94" i="6"/>
  <c r="G17" i="9"/>
  <c r="D16" i="5" l="1"/>
  <c r="D54" i="13"/>
  <c r="E93" i="13"/>
  <c r="D65" i="13"/>
  <c r="D68" i="13"/>
  <c r="D52" i="13"/>
  <c r="D55" i="13"/>
  <c r="D58" i="13"/>
  <c r="D53" i="13"/>
  <c r="D56" i="13"/>
  <c r="D59" i="13"/>
  <c r="E180" i="6"/>
  <c r="E160" i="6" s="1"/>
  <c r="D61" i="13"/>
  <c r="D64" i="13"/>
  <c r="D67" i="13"/>
  <c r="D51" i="13"/>
  <c r="D69" i="13"/>
  <c r="C75" i="6"/>
  <c r="C150" i="6" s="1"/>
  <c r="C38" i="13" s="1"/>
  <c r="E75" i="13"/>
  <c r="E79" i="13"/>
  <c r="E83" i="13"/>
  <c r="E87" i="13"/>
  <c r="E91" i="13"/>
  <c r="E76" i="13"/>
  <c r="E80" i="13"/>
  <c r="E84" i="13"/>
  <c r="E88" i="13"/>
  <c r="E92" i="13"/>
  <c r="E77" i="13"/>
  <c r="E81" i="13"/>
  <c r="E85" i="13"/>
  <c r="E89" i="13"/>
  <c r="E74" i="13"/>
  <c r="E78" i="13"/>
  <c r="E82" i="13"/>
  <c r="E86" i="13"/>
  <c r="E90" i="13"/>
  <c r="E73" i="13"/>
  <c r="D49" i="13"/>
  <c r="D57" i="13"/>
  <c r="D60" i="13"/>
  <c r="D63" i="13"/>
  <c r="D66" i="13"/>
  <c r="D50" i="13"/>
  <c r="E43" i="13"/>
  <c r="F43" i="13"/>
  <c r="C17" i="13"/>
  <c r="B40" i="13"/>
  <c r="B43" i="13" s="1"/>
  <c r="B44" i="13" s="1"/>
  <c r="G8" i="12"/>
  <c r="D43" i="13"/>
  <c r="D44" i="13" s="1"/>
  <c r="B8" i="16"/>
  <c r="B28" i="15"/>
  <c r="D180" i="6"/>
  <c r="B153" i="6"/>
  <c r="B154" i="6" s="1"/>
  <c r="E153" i="6"/>
  <c r="E163" i="6"/>
  <c r="E49" i="6"/>
  <c r="E116" i="6" s="1"/>
  <c r="E204" i="6"/>
  <c r="F153" i="6"/>
  <c r="D18" i="5"/>
  <c r="E129" i="6"/>
  <c r="E9" i="12" s="1"/>
  <c r="E96" i="6"/>
  <c r="E151" i="6" s="1"/>
  <c r="D163" i="6"/>
  <c r="D167" i="6"/>
  <c r="D171" i="6"/>
  <c r="D175" i="6"/>
  <c r="D179" i="6"/>
  <c r="C129" i="6"/>
  <c r="C9" i="12" s="1"/>
  <c r="C96" i="6"/>
  <c r="C151" i="6" s="1"/>
  <c r="C41" i="13" s="1"/>
  <c r="D12" i="9"/>
  <c r="E16" i="5" s="1"/>
  <c r="D49" i="6"/>
  <c r="D116" i="6" s="1"/>
  <c r="E18" i="5"/>
  <c r="E22" i="5" s="1"/>
  <c r="C15" i="7"/>
  <c r="C17" i="7" s="1"/>
  <c r="C21" i="7" s="1"/>
  <c r="D161" i="6"/>
  <c r="D165" i="6"/>
  <c r="D169" i="6"/>
  <c r="D173" i="6"/>
  <c r="D177" i="6"/>
  <c r="D18" i="9"/>
  <c r="F49" i="6"/>
  <c r="F116" i="6" s="1"/>
  <c r="C49" i="6"/>
  <c r="C116" i="6" s="1"/>
  <c r="C97" i="6"/>
  <c r="C152" i="6" s="1"/>
  <c r="D162" i="6"/>
  <c r="D166" i="6"/>
  <c r="D170" i="6"/>
  <c r="D174" i="6"/>
  <c r="D178" i="6"/>
  <c r="F129" i="6"/>
  <c r="F9" i="12" s="1"/>
  <c r="F96" i="6"/>
  <c r="F151" i="6" s="1"/>
  <c r="B50" i="6"/>
  <c r="D153" i="6"/>
  <c r="D154" i="6" s="1"/>
  <c r="E18" i="9"/>
  <c r="D160" i="6"/>
  <c r="D164" i="6"/>
  <c r="D168" i="6"/>
  <c r="D172" i="6"/>
  <c r="D176" i="6"/>
  <c r="E178" i="6" l="1"/>
  <c r="E162" i="6"/>
  <c r="E177" i="6"/>
  <c r="E175" i="6"/>
  <c r="F175" i="6" s="1"/>
  <c r="E69" i="13"/>
  <c r="E174" i="6"/>
  <c r="F174" i="6" s="1"/>
  <c r="E165" i="6"/>
  <c r="F165" i="6" s="1"/>
  <c r="D17" i="13"/>
  <c r="C18" i="13"/>
  <c r="D18" i="13" s="1"/>
  <c r="E164" i="6"/>
  <c r="F164" i="6" s="1"/>
  <c r="E171" i="6"/>
  <c r="F171" i="6" s="1"/>
  <c r="E176" i="6"/>
  <c r="F176" i="6" s="1"/>
  <c r="E169" i="6"/>
  <c r="F169" i="6" s="1"/>
  <c r="E166" i="6"/>
  <c r="F166" i="6" s="1"/>
  <c r="E161" i="6"/>
  <c r="F161" i="6" s="1"/>
  <c r="E179" i="6"/>
  <c r="E168" i="6"/>
  <c r="F168" i="6" s="1"/>
  <c r="E173" i="6"/>
  <c r="F173" i="6" s="1"/>
  <c r="F179" i="6"/>
  <c r="F163" i="6"/>
  <c r="E170" i="6"/>
  <c r="F170" i="6" s="1"/>
  <c r="E167" i="6"/>
  <c r="F167" i="6" s="1"/>
  <c r="F160" i="6"/>
  <c r="E172" i="6"/>
  <c r="F180" i="6"/>
  <c r="D204" i="6"/>
  <c r="F204" i="6" s="1"/>
  <c r="F41" i="13"/>
  <c r="F172" i="6"/>
  <c r="E50" i="6"/>
  <c r="E51" i="6" s="1"/>
  <c r="E121" i="6" s="1"/>
  <c r="F278" i="1" s="1"/>
  <c r="C23" i="7"/>
  <c r="C6" i="14"/>
  <c r="C10" i="14" s="1"/>
  <c r="C12" i="14" s="1"/>
  <c r="C14" i="14" s="1"/>
  <c r="C18" i="14" s="1"/>
  <c r="C19" i="14" s="1"/>
  <c r="B11" i="16" s="1"/>
  <c r="E154" i="6"/>
  <c r="E41" i="13"/>
  <c r="E44" i="13" s="1"/>
  <c r="C153" i="6"/>
  <c r="C154" i="6" s="1"/>
  <c r="C40" i="13"/>
  <c r="C43" i="13" s="1"/>
  <c r="C44" i="13" s="1"/>
  <c r="G9" i="12"/>
  <c r="F177" i="6"/>
  <c r="D201" i="6"/>
  <c r="D187" i="6"/>
  <c r="D192" i="6"/>
  <c r="G12" i="9"/>
  <c r="D15" i="7"/>
  <c r="D17" i="7" s="1"/>
  <c r="F12" i="9"/>
  <c r="E12" i="9"/>
  <c r="F16" i="5" s="1"/>
  <c r="F18" i="5" s="1"/>
  <c r="C5" i="10"/>
  <c r="D22" i="5"/>
  <c r="C7" i="10"/>
  <c r="F22" i="5"/>
  <c r="F23" i="5" s="1"/>
  <c r="F25" i="5" s="1"/>
  <c r="D197" i="6"/>
  <c r="D193" i="6"/>
  <c r="D198" i="6"/>
  <c r="D195" i="6"/>
  <c r="D184" i="6"/>
  <c r="D200" i="6"/>
  <c r="D190" i="6"/>
  <c r="D203" i="6"/>
  <c r="E203" i="6"/>
  <c r="E202" i="6"/>
  <c r="E201" i="6"/>
  <c r="E200" i="6"/>
  <c r="E199" i="6"/>
  <c r="E198" i="6"/>
  <c r="E197" i="6"/>
  <c r="E196" i="6"/>
  <c r="E195" i="6"/>
  <c r="E194" i="6"/>
  <c r="E193" i="6"/>
  <c r="E192" i="6"/>
  <c r="E191" i="6"/>
  <c r="E190" i="6"/>
  <c r="E189" i="6"/>
  <c r="E188" i="6"/>
  <c r="E187" i="6"/>
  <c r="E186" i="6"/>
  <c r="E185" i="6"/>
  <c r="E184" i="6"/>
  <c r="D189" i="6"/>
  <c r="D194" i="6"/>
  <c r="F194" i="6" s="1"/>
  <c r="D191" i="6"/>
  <c r="F154" i="6"/>
  <c r="D196" i="6"/>
  <c r="D50" i="6"/>
  <c r="C50" i="6"/>
  <c r="F50" i="6"/>
  <c r="B51" i="6"/>
  <c r="B118" i="6"/>
  <c r="F178" i="6"/>
  <c r="F162" i="6"/>
  <c r="C6" i="10"/>
  <c r="E23" i="5"/>
  <c r="D6" i="10" s="1"/>
  <c r="D185" i="6"/>
  <c r="D186" i="6"/>
  <c r="D202" i="6"/>
  <c r="D199" i="6"/>
  <c r="D188" i="6"/>
  <c r="G16" i="5" l="1"/>
  <c r="H16" i="5"/>
  <c r="H18" i="5" s="1"/>
  <c r="E118" i="6"/>
  <c r="F188" i="6"/>
  <c r="F185" i="6"/>
  <c r="D81" i="13"/>
  <c r="F81" i="13" s="1"/>
  <c r="D74" i="13"/>
  <c r="F74" i="13" s="1"/>
  <c r="D90" i="13"/>
  <c r="F90" i="13" s="1"/>
  <c r="D87" i="13"/>
  <c r="F87" i="13" s="1"/>
  <c r="D84" i="13"/>
  <c r="F84" i="13" s="1"/>
  <c r="D83" i="13"/>
  <c r="F83" i="13" s="1"/>
  <c r="D85" i="13"/>
  <c r="F85" i="13" s="1"/>
  <c r="D78" i="13"/>
  <c r="F78" i="13" s="1"/>
  <c r="D75" i="13"/>
  <c r="F75" i="13" s="1"/>
  <c r="D91" i="13"/>
  <c r="F91" i="13" s="1"/>
  <c r="D88" i="13"/>
  <c r="F88" i="13" s="1"/>
  <c r="D77" i="13"/>
  <c r="F77" i="13" s="1"/>
  <c r="D93" i="13"/>
  <c r="D86" i="13"/>
  <c r="F86" i="13" s="1"/>
  <c r="D80" i="13"/>
  <c r="F80" i="13" s="1"/>
  <c r="D89" i="13"/>
  <c r="F89" i="13" s="1"/>
  <c r="D82" i="13"/>
  <c r="F82" i="13" s="1"/>
  <c r="D79" i="13"/>
  <c r="F79" i="13" s="1"/>
  <c r="D76" i="13"/>
  <c r="F76" i="13" s="1"/>
  <c r="D92" i="13"/>
  <c r="F92" i="13" s="1"/>
  <c r="D73" i="13"/>
  <c r="F73" i="13" s="1"/>
  <c r="E52" i="13"/>
  <c r="F52" i="13" s="1"/>
  <c r="E56" i="13"/>
  <c r="F56" i="13" s="1"/>
  <c r="E60" i="13"/>
  <c r="F60" i="13" s="1"/>
  <c r="E64" i="13"/>
  <c r="F64" i="13" s="1"/>
  <c r="E68" i="13"/>
  <c r="F68" i="13" s="1"/>
  <c r="E53" i="13"/>
  <c r="F53" i="13" s="1"/>
  <c r="E57" i="13"/>
  <c r="F57" i="13" s="1"/>
  <c r="E61" i="13"/>
  <c r="F61" i="13" s="1"/>
  <c r="E65" i="13"/>
  <c r="F65" i="13" s="1"/>
  <c r="E50" i="13"/>
  <c r="F50" i="13" s="1"/>
  <c r="E54" i="13"/>
  <c r="F54" i="13" s="1"/>
  <c r="E58" i="13"/>
  <c r="F58" i="13" s="1"/>
  <c r="E62" i="13"/>
  <c r="F62" i="13" s="1"/>
  <c r="E66" i="13"/>
  <c r="F66" i="13" s="1"/>
  <c r="E51" i="13"/>
  <c r="F51" i="13" s="1"/>
  <c r="E55" i="13"/>
  <c r="F55" i="13" s="1"/>
  <c r="E59" i="13"/>
  <c r="F59" i="13" s="1"/>
  <c r="E63" i="13"/>
  <c r="F63" i="13" s="1"/>
  <c r="E67" i="13"/>
  <c r="F67" i="13" s="1"/>
  <c r="E49" i="13"/>
  <c r="F49" i="13" s="1"/>
  <c r="F69" i="13"/>
  <c r="F44" i="13"/>
  <c r="F93" i="13"/>
  <c r="F202" i="6"/>
  <c r="F186" i="6"/>
  <c r="F197" i="6"/>
  <c r="D21" i="7"/>
  <c r="D23" i="7" s="1"/>
  <c r="D6" i="14"/>
  <c r="D10" i="14" s="1"/>
  <c r="D12" i="14" s="1"/>
  <c r="D14" i="14" s="1"/>
  <c r="E25" i="5"/>
  <c r="F196" i="6"/>
  <c r="F189" i="6"/>
  <c r="F200" i="6"/>
  <c r="F193" i="6"/>
  <c r="F199" i="6"/>
  <c r="G15" i="7"/>
  <c r="G17" i="7" s="1"/>
  <c r="G279" i="1"/>
  <c r="C118" i="6"/>
  <c r="C51" i="6"/>
  <c r="F203" i="6"/>
  <c r="F184" i="6"/>
  <c r="E15" i="7"/>
  <c r="E17" i="7" s="1"/>
  <c r="F192" i="6"/>
  <c r="D26" i="7"/>
  <c r="C13" i="9"/>
  <c r="C9" i="9" s="1"/>
  <c r="B121" i="6"/>
  <c r="C278" i="1" s="1"/>
  <c r="F118" i="6"/>
  <c r="F51" i="6"/>
  <c r="F121" i="6" s="1"/>
  <c r="G278" i="1" s="1"/>
  <c r="D118" i="6"/>
  <c r="D51" i="6"/>
  <c r="D121" i="6" s="1"/>
  <c r="E278" i="1" s="1"/>
  <c r="F191" i="6"/>
  <c r="F190" i="6"/>
  <c r="F195" i="6"/>
  <c r="E26" i="7"/>
  <c r="D7" i="10"/>
  <c r="D23" i="5"/>
  <c r="F15" i="7"/>
  <c r="F17" i="7" s="1"/>
  <c r="F187" i="6"/>
  <c r="F198" i="6"/>
  <c r="F201" i="6"/>
  <c r="H22" i="5" l="1"/>
  <c r="H23" i="5" s="1"/>
  <c r="G26" i="7" s="1"/>
  <c r="G17" i="14" s="1"/>
  <c r="H25" i="5"/>
  <c r="G18" i="5"/>
  <c r="I16" i="5"/>
  <c r="E17" i="14"/>
  <c r="D8" i="17" s="1"/>
  <c r="D17" i="14"/>
  <c r="D7" i="17" s="1"/>
  <c r="F21" i="7"/>
  <c r="F23" i="7" s="1"/>
  <c r="F6" i="14"/>
  <c r="F10" i="14" s="1"/>
  <c r="F12" i="14" s="1"/>
  <c r="F14" i="14" s="1"/>
  <c r="E21" i="15"/>
  <c r="E21" i="7"/>
  <c r="E23" i="7" s="1"/>
  <c r="E6" i="14"/>
  <c r="E10" i="14" s="1"/>
  <c r="E12" i="14" s="1"/>
  <c r="E14" i="14" s="1"/>
  <c r="C15" i="9"/>
  <c r="C14" i="13"/>
  <c r="C10" i="16"/>
  <c r="D21" i="15"/>
  <c r="G21" i="7"/>
  <c r="G23" i="7" s="1"/>
  <c r="G6" i="14"/>
  <c r="G10" i="14" s="1"/>
  <c r="G12" i="14" s="1"/>
  <c r="G14" i="14" s="1"/>
  <c r="F279" i="1"/>
  <c r="F280" i="1" s="1"/>
  <c r="E124" i="6" s="1"/>
  <c r="E126" i="6" s="1"/>
  <c r="D5" i="10"/>
  <c r="C26" i="7"/>
  <c r="D25" i="5"/>
  <c r="C280" i="1"/>
  <c r="B124" i="6" s="1"/>
  <c r="B126" i="6" s="1"/>
  <c r="D279" i="1"/>
  <c r="D13" i="9"/>
  <c r="C121" i="6"/>
  <c r="D278" i="1" s="1"/>
  <c r="G280" i="1"/>
  <c r="F124" i="6" s="1"/>
  <c r="F126" i="6" s="1"/>
  <c r="C24" i="9"/>
  <c r="C15" i="15" s="1"/>
  <c r="C6" i="17" s="1"/>
  <c r="I18" i="5" l="1"/>
  <c r="C8" i="10"/>
  <c r="G22" i="5"/>
  <c r="D10" i="17"/>
  <c r="G21" i="15"/>
  <c r="F131" i="6"/>
  <c r="F133" i="6" s="1"/>
  <c r="F5" i="12"/>
  <c r="B131" i="6"/>
  <c r="B133" i="6" s="1"/>
  <c r="B5" i="12"/>
  <c r="C15" i="13"/>
  <c r="D14" i="13"/>
  <c r="E131" i="6"/>
  <c r="E133" i="6" s="1"/>
  <c r="E5" i="12"/>
  <c r="D11" i="10"/>
  <c r="F135" i="6"/>
  <c r="F13" i="9"/>
  <c r="F9" i="9" s="1"/>
  <c r="E13" i="9"/>
  <c r="E9" i="9" s="1"/>
  <c r="G13" i="9"/>
  <c r="G9" i="9" s="1"/>
  <c r="D9" i="9"/>
  <c r="D280" i="1"/>
  <c r="C124" i="6" s="1"/>
  <c r="C126" i="6" s="1"/>
  <c r="E279" i="1"/>
  <c r="E280" i="1" s="1"/>
  <c r="D124" i="6" s="1"/>
  <c r="D126" i="6" s="1"/>
  <c r="C28" i="7"/>
  <c r="J5" i="10" s="1"/>
  <c r="C27" i="7"/>
  <c r="G23" i="5" l="1"/>
  <c r="I22" i="5"/>
  <c r="C9" i="10"/>
  <c r="C11" i="10" s="1"/>
  <c r="M20" i="10" s="1"/>
  <c r="B6" i="11"/>
  <c r="C131" i="6"/>
  <c r="C5" i="12"/>
  <c r="G15" i="9"/>
  <c r="G10" i="16"/>
  <c r="B135" i="6"/>
  <c r="E135" i="6"/>
  <c r="E137" i="6" s="1"/>
  <c r="F8" i="10" s="1"/>
  <c r="E15" i="9"/>
  <c r="E10" i="16"/>
  <c r="F15" i="9"/>
  <c r="F10" i="16"/>
  <c r="C22" i="13"/>
  <c r="D15" i="13"/>
  <c r="G16" i="15"/>
  <c r="F6" i="12"/>
  <c r="F11" i="12" s="1"/>
  <c r="H10" i="17" s="1"/>
  <c r="D131" i="6"/>
  <c r="D135" i="6" s="1"/>
  <c r="D5" i="12"/>
  <c r="D15" i="9"/>
  <c r="D24" i="9" s="1"/>
  <c r="D15" i="15" s="1"/>
  <c r="C7" i="17" s="1"/>
  <c r="D10" i="16"/>
  <c r="F16" i="15"/>
  <c r="E6" i="12"/>
  <c r="E11" i="12" s="1"/>
  <c r="H9" i="17" s="1"/>
  <c r="C16" i="15"/>
  <c r="B6" i="12"/>
  <c r="D25" i="7"/>
  <c r="D27" i="7" s="1"/>
  <c r="C30" i="7"/>
  <c r="H9" i="10"/>
  <c r="K9" i="10" s="1"/>
  <c r="F136" i="6"/>
  <c r="E9" i="10" s="1"/>
  <c r="F137" i="6"/>
  <c r="F9" i="10" s="1"/>
  <c r="C133" i="6"/>
  <c r="C135" i="6"/>
  <c r="H5" i="10"/>
  <c r="B136" i="6"/>
  <c r="E5" i="10" s="1"/>
  <c r="B137" i="6"/>
  <c r="F5" i="10" s="1"/>
  <c r="F6" i="11" l="1"/>
  <c r="F26" i="7"/>
  <c r="F17" i="14" s="1"/>
  <c r="I23" i="5"/>
  <c r="B7" i="11" s="1"/>
  <c r="G25" i="5"/>
  <c r="I25" i="5" s="1"/>
  <c r="F24" i="9"/>
  <c r="F15" i="15" s="1"/>
  <c r="G24" i="9"/>
  <c r="G15" i="15" s="1"/>
  <c r="G5" i="12"/>
  <c r="D133" i="6"/>
  <c r="E136" i="6"/>
  <c r="E8" i="10" s="1"/>
  <c r="G8" i="10" s="1"/>
  <c r="H8" i="10"/>
  <c r="K8" i="10" s="1"/>
  <c r="E24" i="9"/>
  <c r="E15" i="15" s="1"/>
  <c r="F13" i="12"/>
  <c r="F12" i="12"/>
  <c r="H15" i="15"/>
  <c r="C10" i="17" s="1"/>
  <c r="E12" i="12"/>
  <c r="E13" i="12"/>
  <c r="D22" i="13"/>
  <c r="D16" i="15"/>
  <c r="C6" i="12"/>
  <c r="C11" i="12" s="1"/>
  <c r="H7" i="17" s="1"/>
  <c r="B11" i="12"/>
  <c r="E16" i="15"/>
  <c r="D6" i="12"/>
  <c r="G9" i="10"/>
  <c r="L9" i="10" s="1"/>
  <c r="D28" i="7"/>
  <c r="J6" i="10" s="1"/>
  <c r="J11" i="10" s="1"/>
  <c r="M19" i="10" s="1"/>
  <c r="K5" i="10"/>
  <c r="H6" i="10"/>
  <c r="C137" i="6"/>
  <c r="F6" i="10" s="1"/>
  <c r="C136" i="6"/>
  <c r="E6" i="10" s="1"/>
  <c r="B139" i="6"/>
  <c r="H7" i="10"/>
  <c r="K7" i="10" s="1"/>
  <c r="D137" i="6"/>
  <c r="F7" i="10" s="1"/>
  <c r="D136" i="6"/>
  <c r="E7" i="10" s="1"/>
  <c r="G5" i="10"/>
  <c r="F139" i="6"/>
  <c r="F7" i="11" l="1"/>
  <c r="B8" i="11"/>
  <c r="D9" i="17"/>
  <c r="D12" i="17" s="1"/>
  <c r="F21" i="15"/>
  <c r="F8" i="11"/>
  <c r="G6" i="11"/>
  <c r="D11" i="12"/>
  <c r="H8" i="17" s="1"/>
  <c r="G6" i="12"/>
  <c r="B29" i="17"/>
  <c r="C29" i="17" s="1"/>
  <c r="C12" i="17"/>
  <c r="L26" i="17" s="1"/>
  <c r="G7" i="10"/>
  <c r="E139" i="6"/>
  <c r="E143" i="6" s="1"/>
  <c r="E145" i="6" s="1"/>
  <c r="G19" i="15"/>
  <c r="E10" i="17"/>
  <c r="H6" i="17"/>
  <c r="H12" i="17" s="1"/>
  <c r="F17" i="15"/>
  <c r="F9" i="17"/>
  <c r="G17" i="15"/>
  <c r="F10" i="17"/>
  <c r="G10" i="17" s="1"/>
  <c r="F19" i="15"/>
  <c r="E9" i="17"/>
  <c r="L8" i="10"/>
  <c r="H16" i="15"/>
  <c r="E140" i="6"/>
  <c r="F19" i="9" s="1"/>
  <c r="F16" i="9" s="1"/>
  <c r="F22" i="9" s="1"/>
  <c r="F14" i="12"/>
  <c r="G33" i="16" s="1"/>
  <c r="G13" i="15"/>
  <c r="D13" i="12"/>
  <c r="D12" i="12"/>
  <c r="C12" i="12"/>
  <c r="C13" i="12"/>
  <c r="E14" i="12"/>
  <c r="F33" i="16" s="1"/>
  <c r="G11" i="12"/>
  <c r="B13" i="12"/>
  <c r="F6" i="17" s="1"/>
  <c r="B12" i="12"/>
  <c r="E6" i="17" s="1"/>
  <c r="G6" i="17" s="1"/>
  <c r="C21" i="15"/>
  <c r="H21" i="15" s="1"/>
  <c r="G6" i="10"/>
  <c r="F11" i="10"/>
  <c r="E11" i="10"/>
  <c r="H11" i="10"/>
  <c r="E25" i="7"/>
  <c r="D30" i="7"/>
  <c r="F143" i="6"/>
  <c r="F145" i="6" s="1"/>
  <c r="F140" i="6"/>
  <c r="G19" i="9" s="1"/>
  <c r="G16" i="9" s="1"/>
  <c r="G22" i="9" s="1"/>
  <c r="B143" i="6"/>
  <c r="B145" i="6" s="1"/>
  <c r="B140" i="6"/>
  <c r="C19" i="9" s="1"/>
  <c r="C16" i="9" s="1"/>
  <c r="C22" i="9" s="1"/>
  <c r="C25" i="9" s="1"/>
  <c r="C36" i="9" s="1"/>
  <c r="C139" i="6"/>
  <c r="D139" i="6"/>
  <c r="K6" i="10"/>
  <c r="L5" i="10"/>
  <c r="C8" i="11" l="1"/>
  <c r="E5" i="11"/>
  <c r="E6" i="11"/>
  <c r="C5" i="11"/>
  <c r="G5" i="11"/>
  <c r="C6" i="11"/>
  <c r="C7" i="11"/>
  <c r="G7" i="11"/>
  <c r="L6" i="10"/>
  <c r="G11" i="10"/>
  <c r="L7" i="10"/>
  <c r="F13" i="15"/>
  <c r="L28" i="17"/>
  <c r="B14" i="12"/>
  <c r="C33" i="16" s="1"/>
  <c r="D34" i="16" s="1"/>
  <c r="D17" i="15"/>
  <c r="F7" i="17"/>
  <c r="D19" i="15"/>
  <c r="E7" i="17"/>
  <c r="E19" i="15"/>
  <c r="E8" i="17"/>
  <c r="G9" i="17"/>
  <c r="E17" i="15"/>
  <c r="F8" i="17"/>
  <c r="D16" i="14"/>
  <c r="D18" i="14" s="1"/>
  <c r="D19" i="14" s="1"/>
  <c r="C11" i="16" s="1"/>
  <c r="G25" i="9"/>
  <c r="G36" i="9" s="1"/>
  <c r="C17" i="15"/>
  <c r="G13" i="12"/>
  <c r="D14" i="12"/>
  <c r="E33" i="16" s="1"/>
  <c r="C19" i="15"/>
  <c r="G12" i="12"/>
  <c r="C14" i="12"/>
  <c r="D33" i="16" s="1"/>
  <c r="K11" i="10"/>
  <c r="E27" i="7"/>
  <c r="E28" i="7"/>
  <c r="M5" i="10"/>
  <c r="C140" i="6"/>
  <c r="D19" i="9" s="1"/>
  <c r="D16" i="9" s="1"/>
  <c r="D22" i="9" s="1"/>
  <c r="D25" i="9" s="1"/>
  <c r="D36" i="9" s="1"/>
  <c r="C143" i="6"/>
  <c r="C145" i="6" s="1"/>
  <c r="D143" i="6"/>
  <c r="D145" i="6" s="1"/>
  <c r="D140" i="6"/>
  <c r="E19" i="9" s="1"/>
  <c r="E16" i="9" s="1"/>
  <c r="E22" i="9" s="1"/>
  <c r="G8" i="11" l="1"/>
  <c r="E8" i="11"/>
  <c r="F12" i="17"/>
  <c r="D15" i="10"/>
  <c r="C12" i="16"/>
  <c r="C21" i="14"/>
  <c r="M6" i="10"/>
  <c r="D14" i="10" s="1"/>
  <c r="L11" i="10"/>
  <c r="D13" i="10" s="1"/>
  <c r="E34" i="16"/>
  <c r="F34" i="16" s="1"/>
  <c r="G34" i="16" s="1"/>
  <c r="C19" i="13"/>
  <c r="D13" i="15"/>
  <c r="G8" i="17"/>
  <c r="E13" i="15"/>
  <c r="H19" i="15"/>
  <c r="G7" i="17"/>
  <c r="E12" i="17"/>
  <c r="D14" i="17" s="1"/>
  <c r="B5" i="16"/>
  <c r="K6" i="17"/>
  <c r="B12" i="16"/>
  <c r="C11" i="15"/>
  <c r="D19" i="13"/>
  <c r="D20" i="13" s="1"/>
  <c r="C20" i="13"/>
  <c r="C23" i="13" s="1"/>
  <c r="G14" i="12"/>
  <c r="H17" i="15"/>
  <c r="C13" i="15"/>
  <c r="E25" i="9"/>
  <c r="E36" i="9" s="1"/>
  <c r="F25" i="9"/>
  <c r="F36" i="9" s="1"/>
  <c r="F25" i="7"/>
  <c r="E30" i="7"/>
  <c r="M7" i="10" l="1"/>
  <c r="M8" i="10" s="1"/>
  <c r="M9" i="10" s="1"/>
  <c r="M21" i="10" s="1"/>
  <c r="H13" i="15"/>
  <c r="G12" i="17"/>
  <c r="L6" i="17"/>
  <c r="B24" i="16"/>
  <c r="B38" i="16" s="1"/>
  <c r="D23" i="13"/>
  <c r="C26" i="13"/>
  <c r="E16" i="14"/>
  <c r="F28" i="7"/>
  <c r="F27" i="7"/>
  <c r="D11" i="15" l="1"/>
  <c r="K7" i="17"/>
  <c r="M6" i="17"/>
  <c r="C27" i="13"/>
  <c r="D26" i="13"/>
  <c r="D21" i="14"/>
  <c r="E18" i="14"/>
  <c r="G25" i="7"/>
  <c r="F30" i="7"/>
  <c r="N6" i="17" l="1"/>
  <c r="L7" i="17"/>
  <c r="C31" i="13"/>
  <c r="B25" i="17" s="1"/>
  <c r="D27" i="13"/>
  <c r="F16" i="14"/>
  <c r="E19" i="14"/>
  <c r="D11" i="16" s="1"/>
  <c r="G28" i="7"/>
  <c r="G27" i="7"/>
  <c r="C25" i="17" l="1"/>
  <c r="C31" i="17" s="1"/>
  <c r="B31" i="17"/>
  <c r="K8" i="17"/>
  <c r="M7" i="17"/>
  <c r="C7" i="15"/>
  <c r="C32" i="13"/>
  <c r="D32" i="13" s="1"/>
  <c r="D31" i="13"/>
  <c r="F18" i="14"/>
  <c r="E11" i="15"/>
  <c r="E21" i="14"/>
  <c r="D12" i="16"/>
  <c r="G30" i="7"/>
  <c r="N7" i="17" l="1"/>
  <c r="L8" i="17"/>
  <c r="E31" i="13"/>
  <c r="E32" i="16"/>
  <c r="E31" i="16" s="1"/>
  <c r="E35" i="16" s="1"/>
  <c r="F32" i="16"/>
  <c r="F31" i="16" s="1"/>
  <c r="F35" i="16" s="1"/>
  <c r="G32" i="16"/>
  <c r="G31" i="16" s="1"/>
  <c r="G35" i="16" s="1"/>
  <c r="C32" i="16"/>
  <c r="C31" i="16" s="1"/>
  <c r="C35" i="16" s="1"/>
  <c r="D32" i="16"/>
  <c r="D31" i="16" s="1"/>
  <c r="D35" i="16" s="1"/>
  <c r="E30" i="13"/>
  <c r="E29" i="13"/>
  <c r="H7" i="15"/>
  <c r="C5" i="15"/>
  <c r="C24" i="15" s="1"/>
  <c r="C27" i="15" s="1"/>
  <c r="C8" i="16" s="1"/>
  <c r="C5" i="16" s="1"/>
  <c r="C24" i="16" s="1"/>
  <c r="G16" i="14"/>
  <c r="F19" i="14"/>
  <c r="E11" i="16" s="1"/>
  <c r="C38" i="16" l="1"/>
  <c r="C36" i="16"/>
  <c r="E32" i="13"/>
  <c r="K9" i="17"/>
  <c r="M8" i="17"/>
  <c r="C28" i="15"/>
  <c r="E25" i="17" s="1"/>
  <c r="F25" i="17" s="1"/>
  <c r="G25" i="17" s="1"/>
  <c r="D6" i="15"/>
  <c r="D5" i="15" s="1"/>
  <c r="D24" i="15" s="1"/>
  <c r="G18" i="14"/>
  <c r="G11" i="16" s="1"/>
  <c r="F11" i="15"/>
  <c r="F21" i="14"/>
  <c r="E12" i="16"/>
  <c r="D15" i="17" l="1"/>
  <c r="H25" i="17"/>
  <c r="G23" i="16"/>
  <c r="G12" i="16" s="1"/>
  <c r="N8" i="17"/>
  <c r="L9" i="17"/>
  <c r="D27" i="15"/>
  <c r="G19" i="14"/>
  <c r="F11" i="16" s="1"/>
  <c r="K10" i="17" l="1"/>
  <c r="M9" i="17"/>
  <c r="G11" i="15"/>
  <c r="H11" i="15" s="1"/>
  <c r="G21" i="14"/>
  <c r="F23" i="16"/>
  <c r="F12" i="16" s="1"/>
  <c r="D28" i="15"/>
  <c r="E26" i="17" s="1"/>
  <c r="D8" i="16"/>
  <c r="D5" i="16" s="1"/>
  <c r="D24" i="16" s="1"/>
  <c r="E6" i="15"/>
  <c r="D38" i="16" l="1"/>
  <c r="D36" i="16"/>
  <c r="L10" i="17"/>
  <c r="K12" i="17"/>
  <c r="L25" i="17" s="1"/>
  <c r="N9" i="17"/>
  <c r="F26" i="17"/>
  <c r="E5" i="15"/>
  <c r="M10" i="17" l="1"/>
  <c r="D18" i="17" s="1"/>
  <c r="L12" i="17"/>
  <c r="G26" i="17"/>
  <c r="E24" i="15"/>
  <c r="M12" i="17" l="1"/>
  <c r="D16" i="17"/>
  <c r="N10" i="17"/>
  <c r="H26" i="17"/>
  <c r="E27" i="15"/>
  <c r="L27" i="17" l="1"/>
  <c r="E28" i="15"/>
  <c r="E27" i="17" s="1"/>
  <c r="E8" i="16"/>
  <c r="E5" i="16" s="1"/>
  <c r="E24" i="16" s="1"/>
  <c r="F6" i="15"/>
  <c r="E38" i="16" l="1"/>
  <c r="F27" i="17"/>
  <c r="F5" i="15"/>
  <c r="G27" i="17" l="1"/>
  <c r="D35" i="17" s="1"/>
  <c r="F24" i="15"/>
  <c r="H27" i="17" l="1"/>
  <c r="F27" i="15"/>
  <c r="F8" i="16" l="1"/>
  <c r="F5" i="16" s="1"/>
  <c r="F24" i="16" s="1"/>
  <c r="F28" i="15"/>
  <c r="E28" i="17" s="1"/>
  <c r="G6" i="15"/>
  <c r="F28" i="17" l="1"/>
  <c r="F38" i="16"/>
  <c r="G5" i="15"/>
  <c r="H6" i="15"/>
  <c r="G28" i="17" l="1"/>
  <c r="G24" i="15"/>
  <c r="H5" i="15"/>
  <c r="H28" i="17" l="1"/>
  <c r="G27" i="15"/>
  <c r="H24" i="15"/>
  <c r="G8" i="16" l="1"/>
  <c r="G5" i="16" s="1"/>
  <c r="G24" i="16" s="1"/>
  <c r="G28" i="15"/>
  <c r="H27" i="15"/>
  <c r="H28" i="15" l="1"/>
  <c r="E29" i="17"/>
  <c r="G38" i="16"/>
  <c r="L36" i="17"/>
  <c r="F29" i="17" l="1"/>
  <c r="E31" i="17"/>
  <c r="G29" i="17" l="1"/>
  <c r="D36" i="17" s="1"/>
  <c r="F31" i="17"/>
  <c r="G31" i="17" l="1"/>
  <c r="L30" i="17" s="1"/>
  <c r="H29" i="17"/>
  <c r="D34" i="17" s="1"/>
  <c r="L33" i="17" l="1"/>
  <c r="L34" i="17"/>
  <c r="L32" i="17"/>
  <c r="L3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000-000001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Proveniente del Dim. Físico</t>
        </r>
      </text>
    </comment>
    <comment ref="D44" authorId="0" shapeId="0" xr:uid="{00000000-0006-0000-0000-00000D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Según "Tecnólogo"</t>
        </r>
      </text>
    </comment>
    <comment ref="B135" authorId="0" shapeId="0" xr:uid="{00000000-0006-0000-0000-000002000000}">
      <text>
        <r>
          <rPr>
            <sz val="10"/>
            <rFont val="Arial"/>
            <family val="2"/>
            <charset val="1"/>
          </rPr>
          <t xml:space="preserve">Rafael Golova:
</t>
        </r>
        <r>
          <rPr>
            <sz val="10"/>
            <color rgb="FF000000"/>
            <rFont val="Tahoma"/>
            <family val="2"/>
            <charset val="1"/>
          </rPr>
          <t>96% del consumo total de energia se debe afectar a prod. el 4% restante a Adm y comer</t>
        </r>
      </text>
    </comment>
    <comment ref="B138" authorId="0" shapeId="0" xr:uid="{00000000-0006-0000-0000-000003000000}">
      <text>
        <r>
          <rPr>
            <sz val="10"/>
            <rFont val="Arial"/>
            <family val="2"/>
            <charset val="1"/>
          </rPr>
          <t xml:space="preserve">Rafael Golova:
</t>
        </r>
        <r>
          <rPr>
            <sz val="10"/>
            <color rgb="FF000000"/>
            <rFont val="Tahoma"/>
            <family val="2"/>
            <charset val="1"/>
          </rPr>
          <t>96% del consumo total de energia se debe afectar a prod. el 4% restante a Adm y comer</t>
        </r>
      </text>
    </comment>
    <comment ref="C151" authorId="0" shapeId="0" xr:uid="{00000000-0006-0000-0000-00000A000000}">
      <text>
        <r>
          <rPr>
            <sz val="10"/>
            <rFont val="Arial"/>
            <family val="2"/>
            <charset val="1"/>
          </rPr>
          <t>Rafael Golova:
MESES TRABAJADOS X AÑO</t>
        </r>
      </text>
    </comment>
    <comment ref="B161" authorId="0" shapeId="0" xr:uid="{00000000-0006-0000-0000-000004000000}">
      <text>
        <r>
          <rPr>
            <sz val="10"/>
            <rFont val="Arial"/>
            <family val="2"/>
            <charset val="1"/>
          </rPr>
          <t xml:space="preserve">Rafael Golova:
</t>
        </r>
        <r>
          <rPr>
            <sz val="10"/>
            <color rgb="FF000000"/>
            <rFont val="Tahoma"/>
            <family val="2"/>
            <charset val="1"/>
          </rPr>
          <t>96% del consumo total de energia se debe afectar a prod. el 4% restante a Adm y comer</t>
        </r>
      </text>
    </comment>
    <comment ref="B164" authorId="0" shapeId="0" xr:uid="{00000000-0006-0000-0000-000005000000}">
      <text>
        <r>
          <rPr>
            <sz val="10"/>
            <rFont val="Arial"/>
            <family val="2"/>
            <charset val="1"/>
          </rPr>
          <t xml:space="preserve">Rafael Golova:
</t>
        </r>
        <r>
          <rPr>
            <sz val="10"/>
            <color rgb="FF000000"/>
            <rFont val="Tahoma"/>
            <family val="2"/>
            <charset val="1"/>
          </rPr>
          <t>96% del consumo total de energia se debe afectar a prod. el 4% restante a Adm y comer</t>
        </r>
      </text>
    </comment>
    <comment ref="C214" authorId="0" shapeId="0" xr:uid="{00000000-0006-0000-0000-00000B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80% del Año 2 por la PM</t>
        </r>
      </text>
    </comment>
    <comment ref="B215" authorId="0" shapeId="0" xr:uid="{00000000-0006-0000-0000-000006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del total anual de bienes de uso</t>
        </r>
      </text>
    </comment>
    <comment ref="B216" authorId="0" shapeId="0" xr:uid="{00000000-0006-0000-0000-000007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del total anual de bienes de uso</t>
        </r>
      </text>
    </comment>
    <comment ref="B217" authorId="0" shapeId="0" xr:uid="{00000000-0006-0000-0000-000008000000}">
      <text>
        <r>
          <rPr>
            <sz val="10"/>
            <rFont val="Arial"/>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total anual de gastos de MP
</t>
        </r>
      </text>
    </comment>
    <comment ref="B218" authorId="0" shapeId="0" xr:uid="{00000000-0006-0000-0000-000009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del total anual de MOD</t>
        </r>
      </text>
    </comment>
    <comment ref="C277" authorId="0" shapeId="0" xr:uid="{00000000-0006-0000-0000-00000C000000}">
      <text>
        <r>
          <rPr>
            <sz val="10"/>
            <rFont val="Arial"/>
            <family val="2"/>
            <charset val="1"/>
          </rPr>
          <t>Rafael Golova:
Dato del fisico, programa general de evolucion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200-000001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Zapatos de seguridad
Pantalones
camisa</t>
        </r>
      </text>
    </comment>
    <comment ref="C8" authorId="0" shapeId="0" xr:uid="{00000000-0006-0000-0200-000002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Cofias
Guantes
Barbijos</t>
        </r>
      </text>
    </comment>
    <comment ref="C45" authorId="0" shapeId="0" xr:uid="{00000000-0006-0000-0200-000003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Trabajos preliminares
Excavaciones
Estructura
Aislaciones
Revoques
Mampostería
Pisos
Revestimientos
Hormigón Armado
Ventanales
Instalaciones (sanitarias, eléctrica)
Pinturas
Gastos de Obra
Escaleras
TODO</t>
        </r>
      </text>
    </comment>
    <comment ref="F64" authorId="0" shapeId="0" xr:uid="{00000000-0006-0000-0200-000006000000}">
      <text>
        <r>
          <rPr>
            <sz val="10"/>
            <rFont val="Arial"/>
            <family val="2"/>
            <charset val="1"/>
          </rPr>
          <t xml:space="preserve">Rafael Golova:
</t>
        </r>
        <r>
          <rPr>
            <sz val="10"/>
            <color rgb="FF000000"/>
            <rFont val="Tahoma"/>
            <family val="2"/>
            <charset val="1"/>
          </rPr>
          <t>Considerando obras ya existentes se aplica el coeficiente del 80%</t>
        </r>
      </text>
    </comment>
    <comment ref="E87" authorId="0" shapeId="0" xr:uid="{00000000-0006-0000-0200-000005000000}">
      <text>
        <r>
          <rPr>
            <sz val="10"/>
            <rFont val="Arial"/>
            <family val="2"/>
            <charset val="1"/>
          </rPr>
          <t xml:space="preserve">Rafael Golova:
</t>
        </r>
        <r>
          <rPr>
            <sz val="10"/>
            <color rgb="FF000000"/>
            <rFont val="Tahoma"/>
            <family val="2"/>
            <charset val="1"/>
          </rPr>
          <t xml:space="preserve">Cobra el 3% sobre el costo de la obra
</t>
        </r>
      </text>
    </comment>
    <comment ref="D88" authorId="0" shapeId="0" xr:uid="{00000000-0006-0000-0200-000004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Precio de harina x la cantidad de bolsas necesarias para la PM</t>
        </r>
      </text>
    </comment>
    <comment ref="G88" authorId="0" shapeId="0" xr:uid="{00000000-0006-0000-0200-000007000000}">
      <text>
        <r>
          <rPr>
            <sz val="10"/>
            <rFont val="Arial"/>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Sale del DIM Técnico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tc={129B9F2C-9A57-4C63-804F-807C5CFE9F12}</author>
    <author>tc={17AFB759-4CD9-4221-86CD-3982153223D6}</author>
    <author>tc={8423993C-20C0-4896-8D0F-EC65BFB4C302}</author>
  </authors>
  <commentList>
    <comment ref="C11" authorId="0" shapeId="0" xr:uid="{129B9F2C-9A57-4C63-804F-807C5CFE9F1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modificó considerando un 20% del año 1</t>
      </text>
    </comment>
    <comment ref="C14" authorId="1" shapeId="0" xr:uid="{17AFB759-4CD9-4221-86CD-3982153223D6}">
      <text>
        <t>[Comentario encadenado]
Su versión de Excel le permite leer este comentario encadenado; sin embargo, las ediciones que se apliquen se quitarán si el archivo se abre en una versión más reciente de Excel. Más información: https://go.microsoft.com/fwlink/?linkid=870924
Comentario:
    Según el balance planteado en el Dim. Técnico este valor esta OK. Se debe al tipo de proceso productivo y al stock promedio.</t>
      </text>
    </comment>
    <comment ref="E15" authorId="2" shapeId="0" xr:uid="{8423993C-20C0-4896-8D0F-EC65BFB4C302}">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Modificado, luego da nulo por incrementos.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22" authorId="0" shapeId="0" xr:uid="{00000000-0006-0000-0600-000001000000}">
      <text>
        <r>
          <rPr>
            <sz val="10"/>
            <rFont val="Arial"/>
            <family val="2"/>
            <charset val="1"/>
          </rPr>
          <t>No poner valores en las celdas. Tomar el valor del IVA de la planilla InfoInicial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700-000001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Lo hemos considerado en "Edificio y obras Complementarias"</t>
        </r>
      </text>
    </comment>
    <comment ref="B17" authorId="0" shapeId="0" xr:uid="{00000000-0006-0000-0700-000002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Lo hemos considerado en Muebles y Útiles</t>
        </r>
      </text>
    </comment>
    <comment ref="B18" authorId="0" shapeId="0" xr:uid="{00000000-0006-0000-0700-000003000000}">
      <text>
        <r>
          <rPr>
            <sz val="10"/>
            <rFont val="Arial"/>
            <family val="2"/>
            <charset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Lo hemos considerado en "Edificio y Obras Complementarias"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D14" authorId="0" shapeId="0" xr:uid="{00000000-0006-0000-0900-000001000000}">
      <text>
        <r>
          <rPr>
            <sz val="10"/>
            <rFont val="Arial"/>
            <family val="2"/>
            <charset val="1"/>
          </rPr>
          <t>Para que sirven tantos decimales?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STG</author>
  </authors>
  <commentList>
    <comment ref="B23" authorId="0" shapeId="0" xr:uid="{06C1A4BF-92EA-42FC-91B0-B9A100BDCE62}">
      <text>
        <r>
          <rPr>
            <b/>
            <sz val="9"/>
            <color indexed="81"/>
            <rFont val="Tahoma"/>
            <family val="2"/>
          </rPr>
          <t>STG:</t>
        </r>
        <r>
          <rPr>
            <sz val="9"/>
            <color indexed="81"/>
            <rFont val="Tahoma"/>
            <family val="2"/>
          </rPr>
          <t xml:space="preserve">
No tenemos crédito de IVA NO CORRIENTE
</t>
        </r>
      </text>
    </comment>
  </commentList>
</comments>
</file>

<file path=xl/sharedStrings.xml><?xml version="1.0" encoding="utf-8"?>
<sst xmlns="http://schemas.openxmlformats.org/spreadsheetml/2006/main" count="1372" uniqueCount="874">
  <si>
    <t>DATOS:</t>
  </si>
  <si>
    <t>%desp Operativo</t>
  </si>
  <si>
    <t>Consumo MP merca en proceso</t>
  </si>
  <si>
    <t>Consumo MP destinada a PT</t>
  </si>
  <si>
    <t>PARA GASTOS EN MERCADERÍA EN PROCESO</t>
  </si>
  <si>
    <t>Personal</t>
  </si>
  <si>
    <t>Operarios</t>
  </si>
  <si>
    <t>Supervisores</t>
  </si>
  <si>
    <t>Jefes</t>
  </si>
  <si>
    <t>Gerentes</t>
  </si>
  <si>
    <t>Administrativos</t>
  </si>
  <si>
    <t>MOD:</t>
  </si>
  <si>
    <t>Salario x 8hs según convenio</t>
  </si>
  <si>
    <t>Cantidad</t>
  </si>
  <si>
    <t>Sueldo/Mes</t>
  </si>
  <si>
    <t>Cargas Sociales</t>
  </si>
  <si>
    <t>Total/Mes</t>
  </si>
  <si>
    <t>Total/Año</t>
  </si>
  <si>
    <t>Oficial Maestro:</t>
  </si>
  <si>
    <t>Medio Oficial:</t>
  </si>
  <si>
    <t>Ayudante:</t>
  </si>
  <si>
    <t>Peon:</t>
  </si>
  <si>
    <t xml:space="preserve">en regimen </t>
  </si>
  <si>
    <t>Gasto Específico MOD:</t>
  </si>
  <si>
    <t>$/Tn PT</t>
  </si>
  <si>
    <t>Año 1:</t>
  </si>
  <si>
    <t>Gasto Anual MOD Total:</t>
  </si>
  <si>
    <t>año 1</t>
  </si>
  <si>
    <t>* Gastos MOD en PT:</t>
  </si>
  <si>
    <t>* Gastos MOD por MCySE:</t>
  </si>
  <si>
    <t>* Exceso Gasto MOD en PM:</t>
  </si>
  <si>
    <t>MOI:</t>
  </si>
  <si>
    <t xml:space="preserve">Salario x 8hs </t>
  </si>
  <si>
    <t>Supervisores (admin)</t>
  </si>
  <si>
    <t>Jefes (admin)</t>
  </si>
  <si>
    <t>Geretes (2 admin y 1 comer)</t>
  </si>
  <si>
    <t>Administrativos (2 amin y 1 comer)</t>
  </si>
  <si>
    <t>Gasto Específico MOI Año 2 a 5:</t>
  </si>
  <si>
    <t>* Gastos MOI por MCySE:</t>
  </si>
  <si>
    <t>Gasto Anual MOI Total:</t>
  </si>
  <si>
    <t>Gasto Específico MOI Año 1:</t>
  </si>
  <si>
    <t>Centro de Costos Producción:</t>
  </si>
  <si>
    <t>Costos MP</t>
  </si>
  <si>
    <t>Costos unitarios</t>
  </si>
  <si>
    <t>$un. (sin IVA)</t>
  </si>
  <si>
    <t>IVA $un.</t>
  </si>
  <si>
    <t>Total (con IVA)</t>
  </si>
  <si>
    <t>Fuente</t>
  </si>
  <si>
    <t>Costos Productivos</t>
  </si>
  <si>
    <t>Harina 0000 55 C - bolsas 25Kg</t>
  </si>
  <si>
    <t>http://www.lagomarsino.com.ar/es/productos/harinas.php</t>
  </si>
  <si>
    <t>Sorvato de potasio granulado - 5 Kg</t>
  </si>
  <si>
    <t>https://santana.com.ar/es/3/productos-por-ingrediente.html</t>
  </si>
  <si>
    <t>Margarina Industrial - 2x10 Kg</t>
  </si>
  <si>
    <t>https://www.rolidar.com/margarinas-c-blanca/</t>
  </si>
  <si>
    <t>Sal - 25 Kg</t>
  </si>
  <si>
    <t>https://recasal.com/</t>
  </si>
  <si>
    <t>Flow-Pack</t>
  </si>
  <si>
    <t>https://ronalflexsrl.com.ar/laminas-de-polietileno-para-envasado-automatico/</t>
  </si>
  <si>
    <t>Cajas</t>
  </si>
  <si>
    <t>Producto</t>
  </si>
  <si>
    <t>Tapas hojaldradas</t>
  </si>
  <si>
    <t>Tapas Rotiseras</t>
  </si>
  <si>
    <t>Q ventas Mayoristas/Distribuidores</t>
  </si>
  <si>
    <t>Q ventas Supermercados</t>
  </si>
  <si>
    <t>Cantidad Q docenas Totales</t>
  </si>
  <si>
    <t>Peso Hojaldradas (Kg/docena)</t>
  </si>
  <si>
    <t>Peso Rotisera (Kg/docena)</t>
  </si>
  <si>
    <t>Peso Total (Tn)</t>
  </si>
  <si>
    <t>Pesos Total (Tn)</t>
  </si>
  <si>
    <t>Receta HOJALDRE</t>
  </si>
  <si>
    <t>Receta Hojaldre de Producción</t>
  </si>
  <si>
    <t>MP Hojaldre cada 1 TN producida</t>
  </si>
  <si>
    <t>Harina</t>
  </si>
  <si>
    <t>Kg</t>
  </si>
  <si>
    <t>Sorvato</t>
  </si>
  <si>
    <t>Margarina</t>
  </si>
  <si>
    <t>Sal</t>
  </si>
  <si>
    <t>Costo MP Hojaldre por TN</t>
  </si>
  <si>
    <t>Receta CRIOLLA (ROTISERAS)</t>
  </si>
  <si>
    <t>Receta CRIOLLA de Producción</t>
  </si>
  <si>
    <t>MP CRIOLLA cada 1 TN producida</t>
  </si>
  <si>
    <t>Costo MP Criollas por TN</t>
  </si>
  <si>
    <t>Flow-Pack Hojaldre</t>
  </si>
  <si>
    <t>kg cada mil bolsas</t>
  </si>
  <si>
    <t>Kg/Año</t>
  </si>
  <si>
    <t>En estas cajas se podrán almacenar 108 paquetes de una docena de tapas hojaldradas o 48 paquetes de una docena de tapas rotiseras.</t>
  </si>
  <si>
    <t>Flow-Pack Rotiseras</t>
  </si>
  <si>
    <t>Caja</t>
  </si>
  <si>
    <t>Cuadro de Evolución de la Mercadería (DIMENSIONAMIENTO FÍSICO)</t>
  </si>
  <si>
    <t>Hojaldradas</t>
  </si>
  <si>
    <t>Rotiseras</t>
  </si>
  <si>
    <t>Año 1</t>
  </si>
  <si>
    <t>Año 2 al 5</t>
  </si>
  <si>
    <t>Docenas año 1:</t>
  </si>
  <si>
    <t>Consumo MP TOTAL</t>
  </si>
  <si>
    <t>En curso y Semielab TOTAL</t>
  </si>
  <si>
    <t>Produccíon TOTAL</t>
  </si>
  <si>
    <t>TN</t>
  </si>
  <si>
    <t>Consumo específico:</t>
  </si>
  <si>
    <t>mp/tn de producto</t>
  </si>
  <si>
    <t>Consumo MP HOJALDRE</t>
  </si>
  <si>
    <t>Consumo MP ROTISERAS</t>
  </si>
  <si>
    <t>En curso y Semielab HOJALDRE</t>
  </si>
  <si>
    <t>En curso y Semielab ROTISERAS</t>
  </si>
  <si>
    <t>Produccíon HOJALDRE</t>
  </si>
  <si>
    <t>Produccíon ROTISERAS</t>
  </si>
  <si>
    <t>Costo MP HOJALDRE</t>
  </si>
  <si>
    <t>Costo MP ROTISERAS</t>
  </si>
  <si>
    <t>Costo MP TOTAL</t>
  </si>
  <si>
    <t>Costo MP Total específico</t>
  </si>
  <si>
    <t>$/tn producida</t>
  </si>
  <si>
    <t>Costo MP requerida Año 1 x Producción realizada</t>
  </si>
  <si>
    <t>Costo SE</t>
  </si>
  <si>
    <t>Costo exceso Puesta en Marcha</t>
  </si>
  <si>
    <t>GASTOS DE FABRICACIÓN:</t>
  </si>
  <si>
    <t>Amortizaciones:</t>
  </si>
  <si>
    <t>Amortización Producción:</t>
  </si>
  <si>
    <t>Amortización Administración</t>
  </si>
  <si>
    <t>Amortización Comer.</t>
  </si>
  <si>
    <t>Amortización TOTAL Años 1 a 5:</t>
  </si>
  <si>
    <t>Alícuota Amortización GF Años 1 a 5:</t>
  </si>
  <si>
    <t>Alícuota Específica Año 1 GF:</t>
  </si>
  <si>
    <t>$/tn PT</t>
  </si>
  <si>
    <t>Alícuota Específica Año 2 a 5 GF:</t>
  </si>
  <si>
    <t>Amortización MC Y SE Años 1:</t>
  </si>
  <si>
    <t>Amortización MC Y SE Años 2 a 5:</t>
  </si>
  <si>
    <t>Costos Energía:</t>
  </si>
  <si>
    <t>Días Activos al año</t>
  </si>
  <si>
    <t>Meses activos al año</t>
  </si>
  <si>
    <t>Maquinas</t>
  </si>
  <si>
    <t>Consumo Total Anual (kW/Anual)</t>
  </si>
  <si>
    <t>Energia electrica</t>
  </si>
  <si>
    <t>$</t>
  </si>
  <si>
    <t>U</t>
  </si>
  <si>
    <t>Amasadora x 2</t>
  </si>
  <si>
    <t>Categoria T3</t>
  </si>
  <si>
    <t>Cargo variable</t>
  </si>
  <si>
    <t>$/Kwh</t>
  </si>
  <si>
    <t>Extrusora de Empaste</t>
  </si>
  <si>
    <t>Cago Pot Contratada x mes</t>
  </si>
  <si>
    <t>$/KW-Mes</t>
  </si>
  <si>
    <t>Laminador Hojaldre</t>
  </si>
  <si>
    <t>Cargo fijo x mes</t>
  </si>
  <si>
    <t>$/Mes</t>
  </si>
  <si>
    <t>Tren de laminacion Lamindor x 3</t>
  </si>
  <si>
    <t>Corte</t>
  </si>
  <si>
    <t>Potencia contratada &gt;</t>
  </si>
  <si>
    <t>kW</t>
  </si>
  <si>
    <t>Envasadora</t>
  </si>
  <si>
    <t>Control de Peso y Metales</t>
  </si>
  <si>
    <t>Coef</t>
  </si>
  <si>
    <t>Cámara de Frío</t>
  </si>
  <si>
    <t>Consumo anual prod</t>
  </si>
  <si>
    <t>KW / Año</t>
  </si>
  <si>
    <t>Luminaria</t>
  </si>
  <si>
    <t>Consumo anual adm y com</t>
  </si>
  <si>
    <t>KW /Año</t>
  </si>
  <si>
    <t>Microondas</t>
  </si>
  <si>
    <t>Administrativo</t>
  </si>
  <si>
    <t>Consumo mensual prod</t>
  </si>
  <si>
    <t>KW / mes</t>
  </si>
  <si>
    <t>Aire Acondicionado</t>
  </si>
  <si>
    <t>Consumo mensual adm y com</t>
  </si>
  <si>
    <t>KW /mes</t>
  </si>
  <si>
    <t>Costo Variable Mensual Prod.</t>
  </si>
  <si>
    <t>$/mes</t>
  </si>
  <si>
    <t>Costo Variable Mensual AyC</t>
  </si>
  <si>
    <t>Costo Fijo Mensual Prod.</t>
  </si>
  <si>
    <t>Costo Fijo Mensual AyC</t>
  </si>
  <si>
    <t>Costo Variable Anual Prod.</t>
  </si>
  <si>
    <t>$/año</t>
  </si>
  <si>
    <t>Costo Variable Anual AyC</t>
  </si>
  <si>
    <t>Costo Fijo Anual Prod.</t>
  </si>
  <si>
    <t>Costo Fijo Anual AyC</t>
  </si>
  <si>
    <t>Costo anual prod</t>
  </si>
  <si>
    <t>$ / año</t>
  </si>
  <si>
    <t>Costo anual Adm y Com</t>
  </si>
  <si>
    <t>Año 2 a 5</t>
  </si>
  <si>
    <t>Gasto específico Prod Variable</t>
  </si>
  <si>
    <t>Gasto específico Prdo Total</t>
  </si>
  <si>
    <t>Gasto en MC y SE</t>
  </si>
  <si>
    <t>Gasto específico Prod Fijo</t>
  </si>
  <si>
    <t>Gasto Fijo en MC y SE</t>
  </si>
  <si>
    <t>Gasto Fijo por Producción</t>
  </si>
  <si>
    <t>Gasto Variable en MC y SE</t>
  </si>
  <si>
    <t>Gasto Variable por Producción</t>
  </si>
  <si>
    <t>Exceso de Gastos de Energía x PM</t>
  </si>
  <si>
    <t>Gastos en PT</t>
  </si>
  <si>
    <t>Gastos en Mercadería en Proceso:</t>
  </si>
  <si>
    <t>Costos Tasas e Impuestos:</t>
  </si>
  <si>
    <t>Producción:</t>
  </si>
  <si>
    <t>Adm.</t>
  </si>
  <si>
    <t>Comer</t>
  </si>
  <si>
    <t>Valor del Inmueble</t>
  </si>
  <si>
    <t>T e I Administración</t>
  </si>
  <si>
    <t>T e I Comer.</t>
  </si>
  <si>
    <t>Tasa Municipal</t>
  </si>
  <si>
    <t>Impuesto Inmobiliario</t>
  </si>
  <si>
    <t>Total</t>
  </si>
  <si>
    <t>Total Producción</t>
  </si>
  <si>
    <t>Gasto Específico</t>
  </si>
  <si>
    <t>$/tn de PT</t>
  </si>
  <si>
    <t>Gasto TeI en Mercadería en Proceso</t>
  </si>
  <si>
    <t>Costos Materiales:</t>
  </si>
  <si>
    <t>Mantenimiento</t>
  </si>
  <si>
    <t>Repuestos</t>
  </si>
  <si>
    <t>Producción</t>
  </si>
  <si>
    <t>Centro Producción (90%):</t>
  </si>
  <si>
    <t>Centro Adm. (5%):</t>
  </si>
  <si>
    <t>Centro Comer. (5%):</t>
  </si>
  <si>
    <t>Gasto Específico (Producción):</t>
  </si>
  <si>
    <t>Gasto Materiales Producción en MP en proceso:</t>
  </si>
  <si>
    <t>Gasto Materiales Prodcción en PT:</t>
  </si>
  <si>
    <t>Exceso Gastos Materiales Procucción en PM:</t>
  </si>
  <si>
    <t>Costos Telecomunicaciones:</t>
  </si>
  <si>
    <t>Centro Producción (10%):</t>
  </si>
  <si>
    <t>Gastos Telefónicos:</t>
  </si>
  <si>
    <t>mes</t>
  </si>
  <si>
    <t>Centro Adm. (45%):</t>
  </si>
  <si>
    <t>Gastos Internet:</t>
  </si>
  <si>
    <t>Centro Comer. (45%):</t>
  </si>
  <si>
    <t>Gasto TC en Mercadería en Proceso</t>
  </si>
  <si>
    <t>Costos SH:</t>
  </si>
  <si>
    <t>Centro Producción (100%):</t>
  </si>
  <si>
    <t>Gasto SH Mensual:</t>
  </si>
  <si>
    <t xml:space="preserve">Externo </t>
  </si>
  <si>
    <t>Costo Tratamiento de efluentes y subproductos:</t>
  </si>
  <si>
    <t>Gasto Tte. Mensual:</t>
  </si>
  <si>
    <t>Externo, para disposición final</t>
  </si>
  <si>
    <t>Costos Seguridad</t>
  </si>
  <si>
    <t>Costo Vigilancia Externa:</t>
  </si>
  <si>
    <t>Centro Admin. (50%)</t>
  </si>
  <si>
    <t>Centro Comer. (50%)</t>
  </si>
  <si>
    <t>Variacion de Stock</t>
  </si>
  <si>
    <t>Año</t>
  </si>
  <si>
    <t>Stock PT tn</t>
  </si>
  <si>
    <t xml:space="preserve">Stock al final </t>
  </si>
  <si>
    <t>Stock al final + ppio año</t>
  </si>
  <si>
    <t>Variacion</t>
  </si>
  <si>
    <t>Costo Alquier:</t>
  </si>
  <si>
    <t>Alquiler c/galpón</t>
  </si>
  <si>
    <t>Unidad</t>
  </si>
  <si>
    <t>Período de instalación</t>
  </si>
  <si>
    <t>Ventas</t>
  </si>
  <si>
    <t>TnPT</t>
  </si>
  <si>
    <t>Stock Promedio de elaborado</t>
  </si>
  <si>
    <t>Promedio Costo Mp/t</t>
  </si>
  <si>
    <t>Produccíon</t>
  </si>
  <si>
    <t>Desperdicio NO recuperable</t>
  </si>
  <si>
    <t>TnMP</t>
  </si>
  <si>
    <t>En curso y Semi elab</t>
  </si>
  <si>
    <t>Consumo MP</t>
  </si>
  <si>
    <t>Stock MP</t>
  </si>
  <si>
    <t>Compra MP</t>
  </si>
  <si>
    <t>Disponibilidad Mínima en Caja y Bancos</t>
  </si>
  <si>
    <t>Disponibilidad minimia en caja y Bancos</t>
  </si>
  <si>
    <t>de las vtas. anuales</t>
  </si>
  <si>
    <t> </t>
  </si>
  <si>
    <t>Año 0</t>
  </si>
  <si>
    <t>de los otros años</t>
  </si>
  <si>
    <t>Creditos x venta</t>
  </si>
  <si>
    <t>dias</t>
  </si>
  <si>
    <t>Stock de Materiales</t>
  </si>
  <si>
    <t>Datos de la guia</t>
  </si>
  <si>
    <t>Produccion</t>
  </si>
  <si>
    <t>Meses</t>
  </si>
  <si>
    <t>Aministracion</t>
  </si>
  <si>
    <t>Comercializacion</t>
  </si>
  <si>
    <t>MEses</t>
  </si>
  <si>
    <t>Incrementos IVA sobre Inversiones</t>
  </si>
  <si>
    <t>Stock de PT con IVA</t>
  </si>
  <si>
    <t>Año1</t>
  </si>
  <si>
    <t>Año2</t>
  </si>
  <si>
    <t>Año3</t>
  </si>
  <si>
    <t>Año4</t>
  </si>
  <si>
    <t>Año5</t>
  </si>
  <si>
    <t>MP</t>
  </si>
  <si>
    <t>Materiales</t>
  </si>
  <si>
    <t>Gastos de Produccion - MC y SE - PMarcha</t>
  </si>
  <si>
    <t>Energìa electrica</t>
  </si>
  <si>
    <t>Combustible</t>
  </si>
  <si>
    <t>Incremento</t>
  </si>
  <si>
    <t>Plan de Ventas (Dim. Comercial)</t>
  </si>
  <si>
    <t>Año 2</t>
  </si>
  <si>
    <t>Año 3</t>
  </si>
  <si>
    <t>Año 4</t>
  </si>
  <si>
    <t>Año 5</t>
  </si>
  <si>
    <t>$    310.989.127,68</t>
  </si>
  <si>
    <t>Cantidades</t>
  </si>
  <si>
    <t>Costo Total</t>
  </si>
  <si>
    <t>ÁREA</t>
  </si>
  <si>
    <t>ÍTEM</t>
  </si>
  <si>
    <t>CANTIDAD</t>
  </si>
  <si>
    <t>Total (sin IVA)</t>
  </si>
  <si>
    <t>IVA Total</t>
  </si>
  <si>
    <t>PRODUCCIÓN</t>
  </si>
  <si>
    <t>Mesa de trabajo</t>
  </si>
  <si>
    <t>https://articulo.mercadolibre.com.ar/MLA-811624035-mesa-de-acero-inoxidable-aisi430-reforzada-_JM#position=47&amp;search_layout=stack&amp;type=item&amp;tracking_id=3d393541-aad7-4129-b1be-40270ebe673f</t>
  </si>
  <si>
    <t>Luminarias</t>
  </si>
  <si>
    <t>EPP</t>
  </si>
  <si>
    <t>https://agente-seguro.com/categoria-producto/</t>
  </si>
  <si>
    <t>EPP descarbles</t>
  </si>
  <si>
    <t>Pallets</t>
  </si>
  <si>
    <t>Zorras hidráulicas</t>
  </si>
  <si>
    <t>https://articulo.mercadolibre.com.ar/MLA-1126952940-zorra-hidraulica-2-ton-lusqtoff-p-pallet-520x1150mm-manual-_JM#position=1&amp;search_layout=stack&amp;type=pad&amp;tracking_id=a93b4d55-32ab-4d95-b6b7-3b3c4f7179df#position=1&amp;search_layout=stack&amp;type=pad&amp;tracking_id=a93b4d55-32ab-4d95-b6b7-3b3c4f7179df&amp;is_advertising=true&amp;ad_domain=VQCATCORE_LST&amp;ad_position=1&amp;ad_click_id=MTBlY2FkMWMtNzQyYy00NzgwLWI4YzgtNzczMzk2YmE5MTgy</t>
  </si>
  <si>
    <t>Dispenser de Agua</t>
  </si>
  <si>
    <t>https://articulo.mercadolibre.com.ar/MLA-918609910-dispenser-de-agua-tres-temperaturas-super-precio-para-bidon-_JM?searchVariation=87007116390#searchVariation=87007116390&amp;position=11&amp;search_layout=grid&amp;type=item&amp;tracking_id=0700075b-38bf-4fc9-a9a4-b0d5b6c33ed3</t>
  </si>
  <si>
    <t>Set de Herramientas Convencionales</t>
  </si>
  <si>
    <t>https://articulo.mercadolibre.com.ar/MLA-1155648900-set-herramientas-combinadas-caja-metalica-84-piezas-yosemite-_JM#position=11&amp;search_layout=stack&amp;type=item&amp;tracking_id=71ab68e4-7fda-46f2-85a4-8453af1c6158</t>
  </si>
  <si>
    <t>Multimetros</t>
  </si>
  <si>
    <t>https://articulo.mercadolibre.com.ar/MLA-603566579-multimetro-digital-capacimetro-capacidad-hfe-20-amp-200ma-_JM#position=18&amp;search_layout=stack&amp;type=item&amp;tracking_id=bdbb79c7-3201-474e-b688-88f961203076</t>
  </si>
  <si>
    <t>Zorra eléctrica</t>
  </si>
  <si>
    <t>https://articulo.mercadolibre.com.ar/MLA-1116769514-zorra-electrica-litio-heli-cbd20j-li2-2000-kg-685cm-bateria-_JM#position=13&amp;search_layout=stack&amp;type=item&amp;tracking_id=070d2fab-a6a5-4fc4-923e-d4fc7914a1ec</t>
  </si>
  <si>
    <t>Computadoras</t>
  </si>
  <si>
    <t>Equipo Detector de humo</t>
  </si>
  <si>
    <t>Cesto de basura</t>
  </si>
  <si>
    <t>Armarios</t>
  </si>
  <si>
    <t>https://articulo.mercadolibre.com.ar/MLA-803423981-panel-incendio-inim-in2004-20-detector-4-pulsador-4-sirena-_JM#position=26&amp;search_layout=grid&amp;type=item&amp;tracking_id=2f8254dc-9f5e-4c1c-af66-13bd5a016d23</t>
  </si>
  <si>
    <t>ADMINISTRACIÓN</t>
  </si>
  <si>
    <t>https://articulo.mercadolibre.com.ar/MLA-1132827732-notebook-lenovo-t14-r5-8g-256-14-windows-10-pro-_JM?searchVariation=174421671052#searchVariation=174421671052&amp;position=1&amp;search_layout=stack&amp;type=item&amp;tracking_id=2e3ed37c-36e7-49ff-b315-71de4d1c5f13</t>
  </si>
  <si>
    <t>Escritorios</t>
  </si>
  <si>
    <t>https://articulo.mercadolibre.com.ar/MLA-886614267-mesas-coworking-de-trabajo-escritorios-140x-080-_JM?variation=67339886516#reco_item_pos=0&amp;reco_backend=machinalis-seller-items-pdp&amp;reco_backend_type=low_level&amp;reco_client=vip-seller_items-above&amp;reco_id=3b17632f-5a26-4201-9c65-7a024bcfe8f8</t>
  </si>
  <si>
    <t>Sillas de escritorio</t>
  </si>
  <si>
    <t>https://www.mercadolibre.com.ar/silla-de-escritorio-desillas-lancaster-negra-con-tapizado-de-mesh/p/MLA16108851?pdp_filters=category:MLA30994#searchVariation=MLA16108851&amp;position=2&amp;search_layout=grid&amp;type=product&amp;tracking_id=9c73b377-c48a-4e96-8164-aa45f2c56e9e</t>
  </si>
  <si>
    <t>https://articulo.mercadolibre.com.ar/MLA-876685505-cesto-residuos-reciclado-55-lts-tapa-plana-x-2u-colombraro-_JM?searchVariation=63307644505#searchVariation=63307644505&amp;position=7&amp;search_layout=grid&amp;type=item&amp;tracking_id=2df663ae-6184-4150-b16c-47327dd2f98a</t>
  </si>
  <si>
    <t>https://articulo.mercadolibre.com.ar/MLA-842413212-dispenser-de-agua-caliente-y-fresca-conexion-a-red-_JM?searchVariation=88991416006#searchVariation=88991416006&amp;position=19&amp;search_layout=grid&amp;type=item&amp;tracking_id=eadb291e-2288-44c4-8342-de3523184291</t>
  </si>
  <si>
    <t>Impresoras</t>
  </si>
  <si>
    <t>https://www.mercadolibre.com.ar/impresora-multifuncion-hp-laserjet-137fnw-con-wifi-blanca-y-negra-220v-240v/p/MLA15159034?pdp_filters=category:MLA1676#searchVariation=MLA15159034&amp;position=29&amp;search_layout=stack&amp;type=product&amp;tracking_id=ca4c5b0b-845a-46eb-86e4-cbd2d4a0c3ab</t>
  </si>
  <si>
    <t>Resma de hojas A4</t>
  </si>
  <si>
    <t>Cafetera</t>
  </si>
  <si>
    <t>https://articulo.mercadolibre.com.ar/MLA-896782289-saeco-lirika-otc-modelo-2020-1-kg-cafe-bonafide-de-regalo-_JM?searchVariation=67935743128#searchVariation=67935743128&amp;position=27&amp;search_layout=stack&amp;type=item&amp;tracking_id=a1bdfe54-9553-475a-b2fc-0fb68ef4a62c</t>
  </si>
  <si>
    <t>Aire acondicionado</t>
  </si>
  <si>
    <t>https://www.mercadolibre.com.ar/aire-acondicionado-bgh-silent-air-split-friocalor-3000-frigorias-blanco-220v-bs35wccr/p/MLA15236638?pdp_filters=category:MLA1644#searchVariation=MLA15236638&amp;position=4&amp;search_layout=stack&amp;type=product&amp;tracking_id=2d00063a-dfb2-447d-a803-f368083398ba</t>
  </si>
  <si>
    <t>Archivero</t>
  </si>
  <si>
    <t>https://articulo.mercadolibre.com.ar/MLA-858573288-ficheros-metalicos-archiveros-blancos-4-cajones-ccerradura-_JM?searchVariation=56919293610#searchVariation=56919293610&amp;position=5&amp;search_layout=stack&amp;type=item&amp;tracking_id=2dcb0302-3d42-48d3-b922-e455ebd5abd0</t>
  </si>
  <si>
    <t>Racks</t>
  </si>
  <si>
    <t>https://articulo.mercadolibre.com.ar/MLA-747747720-rack-30-unidades-glc-19-pulgadas-800mm-c-cerradura-y-ruedas-_JM#position=30&amp;search_layout=grid&amp;type=item&amp;tracking_id=2695396b-71bf-45d5-878c-fb124a4c2109</t>
  </si>
  <si>
    <t>Teléfonos fijos</t>
  </si>
  <si>
    <t>https://articulo.mercadolibre.com.ar/MLA-706670649-telefono-digital-kx-dt543-panasonic-operadora-kx-ns500-s1000-_JM?searchVariation=41331184008#searchVariation=41331184008&amp;position=15&amp;search_layout=stack&amp;type=item&amp;tracking_id=39774f05-faff-49d4-a5e6-3be9f4ff20dc</t>
  </si>
  <si>
    <t>Switch</t>
  </si>
  <si>
    <t>https://www.mercadolibre.com.ar/switch-tp-link-tl-sg1008mp/p/MLA15566983?pdp_filters=item_id:MLA1153610584#searchVariation=MLA15566983&amp;position=8&amp;search_layout=stack&amp;type=pad&amp;tracking_id=cd6bd11d-39ed-47f2-a655-8e8284deccdc</t>
  </si>
  <si>
    <t>Router</t>
  </si>
  <si>
    <t>https://www.mercadolibre.com.ar/access-point-router-sistema-wi-fi-mesh-tp-link-deco-x20-blanco-220v-3-unidades/p/MLA16139810?pdp_filters=item_id:MLA1101098646#searchVariation=MLA16139810&amp;position=5&amp;search_layout=stack&amp;type=pad&amp;tracking_id=72945207-d523-46b6-830e-ac4c12bca800</t>
  </si>
  <si>
    <t>Servidores</t>
  </si>
  <si>
    <t>COMEDOR</t>
  </si>
  <si>
    <t>https://www.mercadolibre.com.ar/microondas-bgh-quick-chef-b120m20-blanco-20l-220v/p/MLA18193159?pdp_filters=category:MLA1577#searchVariation=MLA18193159&amp;position=5&amp;search_layout=grid&amp;type=product&amp;tracking_id=3f10c288-7ea5-4a6b-a686-450d071ff337</t>
  </si>
  <si>
    <t>Mesa  </t>
  </si>
  <si>
    <t>Mesa Reunión- Oficina/ Comedor/ Capacitación 2,50m X 1,20m | MercadoLibre</t>
  </si>
  <si>
    <t>Sillas</t>
  </si>
  <si>
    <t>Silla de comedor Rossi Rio, estructura color negro, 1 unidad | MercadoLibre</t>
  </si>
  <si>
    <t>Televisión</t>
  </si>
  <si>
    <t>Smart TV Philips 7000 Series 55PUD7406/77 LED 4K 55" 110V/240V | Envío gratis (mercadolibre.com.ar)</t>
  </si>
  <si>
    <t>Heladera</t>
  </si>
  <si>
    <t>Heladera Exhibidora Comercial Vertical Briket M 3200 Vidrio | MercadoLibre</t>
  </si>
  <si>
    <t>BAÑO</t>
  </si>
  <si>
    <t>Inodoros</t>
  </si>
  <si>
    <t>Inodoro Largo + Mochila Apoyo Descarga Dual Roca Monac Envio | Envío gratis (mercadolibre.com.ar)</t>
  </si>
  <si>
    <t>Duchas</t>
  </si>
  <si>
    <t>Griferia Baño Bañera Ducha Embutir Canilla Volare Roma | Envío gratis (mercadolibre.com.ar)</t>
  </si>
  <si>
    <t>Lockers</t>
  </si>
  <si>
    <t>Lockers Metálicos 10 Ptas - Pintura Epoxi - C/cerradura | MercadoLibre</t>
  </si>
  <si>
    <t>Jabón</t>
  </si>
  <si>
    <t>Papel Higiénico</t>
  </si>
  <si>
    <t>Costos construcción</t>
  </si>
  <si>
    <t>Construcción galpón</t>
  </si>
  <si>
    <t>$/m2</t>
  </si>
  <si>
    <t xml:space="preserve">Clarin </t>
  </si>
  <si>
    <t>M2</t>
  </si>
  <si>
    <t>usd</t>
  </si>
  <si>
    <t>Tipo de cambio</t>
  </si>
  <si>
    <t>TOTAL</t>
  </si>
  <si>
    <t>Compra Terreno</t>
  </si>
  <si>
    <t>TERRENO</t>
  </si>
  <si>
    <t>$/M2</t>
  </si>
  <si>
    <t xml:space="preserve">Indice </t>
  </si>
  <si>
    <t>Alquiler</t>
  </si>
  <si>
    <t>Edificación</t>
  </si>
  <si>
    <t>Obra</t>
  </si>
  <si>
    <t>USD</t>
  </si>
  <si>
    <t>TC</t>
  </si>
  <si>
    <t>Total sin IVA</t>
  </si>
  <si>
    <t>IVA</t>
  </si>
  <si>
    <t>Total con IVA</t>
  </si>
  <si>
    <t>Amazadora</t>
  </si>
  <si>
    <t>Selmeq</t>
  </si>
  <si>
    <t>Formadora de Hoja</t>
  </si>
  <si>
    <t>Tren de Laminación</t>
  </si>
  <si>
    <t>Cortadora</t>
  </si>
  <si>
    <t>ADK</t>
  </si>
  <si>
    <t>Detector de metales y peso</t>
  </si>
  <si>
    <t>Penta</t>
  </si>
  <si>
    <t>Camara de Frío</t>
  </si>
  <si>
    <t>Transporte y Montaje de Maq</t>
  </si>
  <si>
    <t>Sobre el valor de las maquinarias</t>
  </si>
  <si>
    <t xml:space="preserve">IVA </t>
  </si>
  <si>
    <t>TOTAL + IVA</t>
  </si>
  <si>
    <t xml:space="preserve">Muebles y Utiles </t>
  </si>
  <si>
    <t>Gastos asimilables o cargos diferidos</t>
  </si>
  <si>
    <t>Indice</t>
  </si>
  <si>
    <t>Investigaciones y estudios</t>
  </si>
  <si>
    <t>Constitución y organización de la empresa</t>
  </si>
  <si>
    <t>Gastos de Admin. e Ing. En en período de Instalación</t>
  </si>
  <si>
    <t>Gastos de puesta en marcha</t>
  </si>
  <si>
    <t>PM</t>
  </si>
  <si>
    <t>ESTA PLANILLA PUEDE SER UTILIZADA SOLAMENTE PARA EL TRABAJO PRACTICO:</t>
  </si>
  <si>
    <t>Calendario de Inversiones</t>
  </si>
  <si>
    <t>Rubros</t>
  </si>
  <si>
    <t>Año 0: Preinversion</t>
  </si>
  <si>
    <t>Año 0: Instalación</t>
  </si>
  <si>
    <t>Totales</t>
  </si>
  <si>
    <t>Inversiones en Activo Fijo</t>
  </si>
  <si>
    <t xml:space="preserve">    Bienes de uso</t>
  </si>
  <si>
    <t xml:space="preserve">    Asimilables</t>
  </si>
  <si>
    <t xml:space="preserve">    Subtotal Activo Fijo</t>
  </si>
  <si>
    <t>Inversiones en A. de Trabajo</t>
  </si>
  <si>
    <t xml:space="preserve">   Disp. mínimas C y B</t>
  </si>
  <si>
    <t xml:space="preserve">   Crédito por ventas</t>
  </si>
  <si>
    <t xml:space="preserve">   Bienes de cambio:</t>
  </si>
  <si>
    <t xml:space="preserve">     Stock de Materia Prima</t>
  </si>
  <si>
    <t xml:space="preserve">     Stock de Materiales</t>
  </si>
  <si>
    <t xml:space="preserve">     Mercadería en proceso</t>
  </si>
  <si>
    <t xml:space="preserve">     Stock de Elaborados</t>
  </si>
  <si>
    <t xml:space="preserve">    Subtotal Activo Trabajo</t>
  </si>
  <si>
    <t>IVA:</t>
  </si>
  <si>
    <t xml:space="preserve">    por inversión A. Fijo</t>
  </si>
  <si>
    <t xml:space="preserve">    por inversión A. T.</t>
  </si>
  <si>
    <t xml:space="preserve">   Subtotal IVA Inversión</t>
  </si>
  <si>
    <t>Inversiones Totales</t>
  </si>
  <si>
    <t>COSTO TOTAL DE PRODUCCION</t>
  </si>
  <si>
    <t>Gastos en el Area de Producción</t>
  </si>
  <si>
    <t>Materia Prima</t>
  </si>
  <si>
    <t>Mano de obra directa</t>
  </si>
  <si>
    <t>Gastos de fabricación:</t>
  </si>
  <si>
    <t>COEF</t>
  </si>
  <si>
    <t>A prod le corresponde el 90% de los activos fijos</t>
  </si>
  <si>
    <t>Amortizaciones</t>
  </si>
  <si>
    <t>Personal indirecto</t>
  </si>
  <si>
    <t>Var. Sueldos</t>
  </si>
  <si>
    <t>Energía eléctrica</t>
  </si>
  <si>
    <t>Var. Prod. (-)</t>
  </si>
  <si>
    <t>Redes y Telecomunicaciones</t>
  </si>
  <si>
    <t>Var. Vtas (-)</t>
  </si>
  <si>
    <t>Tasas e impuestos</t>
  </si>
  <si>
    <t>Seguridad e Higiene</t>
  </si>
  <si>
    <t>Tratamiento de efluentes y subproductos</t>
  </si>
  <si>
    <t>Aquiler:</t>
  </si>
  <si>
    <t>*libre para insertar costos adicionales*</t>
  </si>
  <si>
    <t>Imprevistos</t>
  </si>
  <si>
    <t>Gastos Total de Producción</t>
  </si>
  <si>
    <t>% Gasto Constante</t>
  </si>
  <si>
    <t>% Gasto Variable</t>
  </si>
  <si>
    <t>Gastos a activar</t>
  </si>
  <si>
    <t>Mercadería en Curso y Semielaborada</t>
  </si>
  <si>
    <t>Puesta en marcha</t>
  </si>
  <si>
    <t>Materia prima</t>
  </si>
  <si>
    <t xml:space="preserve">  Energía eléctrica</t>
  </si>
  <si>
    <t xml:space="preserve">  Combustibles</t>
  </si>
  <si>
    <t xml:space="preserve">  Tasas e impuestos</t>
  </si>
  <si>
    <t>Otros rubros</t>
  </si>
  <si>
    <t xml:space="preserve">  Imprevistos</t>
  </si>
  <si>
    <t>Total gastos a activar</t>
  </si>
  <si>
    <t>Costo en el Area de Producción</t>
  </si>
  <si>
    <t>Menos:</t>
  </si>
  <si>
    <t>Gasto de puesta en marcha</t>
  </si>
  <si>
    <t>Variación Mercadería en proceso</t>
  </si>
  <si>
    <t>Costo de producción anual</t>
  </si>
  <si>
    <r>
      <rPr>
        <b/>
        <sz val="10"/>
        <rFont val="Arial"/>
        <family val="2"/>
        <charset val="1"/>
      </rPr>
      <t xml:space="preserve">Costo de prod. Unitario Promedio </t>
    </r>
    <r>
      <rPr>
        <sz val="10"/>
        <rFont val="Arial"/>
        <family val="2"/>
        <charset val="1"/>
      </rPr>
      <t>(por Tn)</t>
    </r>
  </si>
  <si>
    <t>Gastos en el Area de Administración</t>
  </si>
  <si>
    <t>Amortizaciones de A. Fijo</t>
  </si>
  <si>
    <t>Electricidad</t>
  </si>
  <si>
    <t>Cámaras y Seguridad</t>
  </si>
  <si>
    <t>Alquiler:</t>
  </si>
  <si>
    <t>Costo total de Admistración</t>
  </si>
  <si>
    <t>Gastos en el Area de Comercialización</t>
  </si>
  <si>
    <t>Personal (incluye comisiones)</t>
  </si>
  <si>
    <t>Energía Eléctrica</t>
  </si>
  <si>
    <t>Promoción y Publicidad</t>
  </si>
  <si>
    <t>Logística y Distribución</t>
  </si>
  <si>
    <t>Costo total de Comercialización</t>
  </si>
  <si>
    <t>COSTO TOTAL Y RESULTADO A NIVEL ECONOMICO</t>
  </si>
  <si>
    <t>Venta anual, en Docenas Producto 1</t>
  </si>
  <si>
    <t>Precio de venta Producto 1</t>
  </si>
  <si>
    <t>Venta anual, en Docenas Producto 2</t>
  </si>
  <si>
    <t>Precio de venta Producto 2</t>
  </si>
  <si>
    <t>VENTAS ANUALES</t>
  </si>
  <si>
    <t xml:space="preserve">Consumo de materia prima </t>
  </si>
  <si>
    <t>Gastos de fabricación</t>
  </si>
  <si>
    <t>Gastos de Producción</t>
  </si>
  <si>
    <t>COSTO DE PRODUCCION ANUAL</t>
  </si>
  <si>
    <t>Producción anual en Docenas</t>
  </si>
  <si>
    <t>Producción anual en Tn</t>
  </si>
  <si>
    <t>Costo de producción unitario Promedio</t>
  </si>
  <si>
    <t>Variación de Stock de Elaborado</t>
  </si>
  <si>
    <t>COSTO DE PRODUCCION DE LO VENDIDO</t>
  </si>
  <si>
    <t>GASTO DE ADMINISTRACION</t>
  </si>
  <si>
    <t xml:space="preserve">GASTO DE COMERCIALIZACION </t>
  </si>
  <si>
    <t>COSTO ANUAL DE LO VENDIDO</t>
  </si>
  <si>
    <t>Costo total unitario promedio</t>
  </si>
  <si>
    <t>UTILIDAD ECONOMICA (a/H. D. e Impuesto)</t>
  </si>
  <si>
    <t>Honorarios al Directorio</t>
  </si>
  <si>
    <t xml:space="preserve">Impuesto a la ganancia </t>
  </si>
  <si>
    <t>UTILIDAD ECONOMICA (d/H.D. e Impuesto)</t>
  </si>
  <si>
    <t>% sobre VENTAS</t>
  </si>
  <si>
    <t>FONDOS AUTOGENERADOS</t>
  </si>
  <si>
    <t>Utilidad Económica (d/H.D. e Impuesto)</t>
  </si>
  <si>
    <t>Amortización anual</t>
  </si>
  <si>
    <t>Costo Constante Sector de Producción</t>
  </si>
  <si>
    <t>Costo Variable Sector de Producción</t>
  </si>
  <si>
    <t>Costo Constante Sector de Administración</t>
  </si>
  <si>
    <t>Costo Variable Sector de Administración</t>
  </si>
  <si>
    <t>Costo Constante Sector de Comercialización</t>
  </si>
  <si>
    <t>Costo Variable Sector de Comercialización</t>
  </si>
  <si>
    <t>UTILIDAD MARGINAL</t>
  </si>
  <si>
    <t>PUNTO DE EQUILIBRIO</t>
  </si>
  <si>
    <t>HACER DIAGRAMA DE PUNTO DE EQUILIBRIO PARA EL AÑO 1 Y PARA EL AÑO 5</t>
  </si>
  <si>
    <t>Total Ventas</t>
  </si>
  <si>
    <t>% Plan de Ventas</t>
  </si>
  <si>
    <t>Fijos</t>
  </si>
  <si>
    <t>Variables</t>
  </si>
  <si>
    <t>Costos Totales</t>
  </si>
  <si>
    <t>IVA plan de Explotación, Cancelación del Credito Fiscal y pago al Fisco por IVA</t>
  </si>
  <si>
    <t>TOTALES PARA LAS TRES AREAS</t>
  </si>
  <si>
    <t>Rubros que abonan IVA</t>
  </si>
  <si>
    <t>Combustibles</t>
  </si>
  <si>
    <t>Seguros</t>
  </si>
  <si>
    <t>Varios</t>
  </si>
  <si>
    <t>Subtotal</t>
  </si>
  <si>
    <t>Menos: Puesta en marcha</t>
  </si>
  <si>
    <t xml:space="preserve">   (s/mano de obra directa)</t>
  </si>
  <si>
    <t>Merc. en proceso</t>
  </si>
  <si>
    <t>Stock elaborados</t>
  </si>
  <si>
    <t>Total Area Producción</t>
  </si>
  <si>
    <t>Total Area Administración</t>
  </si>
  <si>
    <t>Total Area Comercialización</t>
  </si>
  <si>
    <t>IVA total abonado por insumos</t>
  </si>
  <si>
    <t>IVA total cobrado por ventas</t>
  </si>
  <si>
    <t>a) IVA diferencia</t>
  </si>
  <si>
    <t>b) Crédito Fiscal Anterior</t>
  </si>
  <si>
    <t>c) Crédito Fiscal del Año</t>
  </si>
  <si>
    <t>d) Crédito Fiscal Final Año</t>
  </si>
  <si>
    <t>e) Recupero de Credito Fiscal</t>
  </si>
  <si>
    <t xml:space="preserve">    Pago al Fisco por IVA</t>
  </si>
  <si>
    <t>ESTA PLANILLA PUEDE SER UTILIZADA SOLAMENTE PARA EL TRABAJO PRACTICO</t>
  </si>
  <si>
    <t>Inversión Inicial en Activo Fijo</t>
  </si>
  <si>
    <t>Gasto interno (en $)</t>
  </si>
  <si>
    <t>Gasto Externo (en $)</t>
  </si>
  <si>
    <t>a) Bienes de Uso</t>
  </si>
  <si>
    <t>Terreno y sus mejoras</t>
  </si>
  <si>
    <t>Edificio y obras complementarias</t>
  </si>
  <si>
    <t>Instalaciones industriales</t>
  </si>
  <si>
    <t>Máquinas operativas</t>
  </si>
  <si>
    <t xml:space="preserve">    importadas, valor FOB</t>
  </si>
  <si>
    <t xml:space="preserve">    nacionales, precio en fábrica del proveedor</t>
  </si>
  <si>
    <t>Gastos conexos a la importación de maquinaria</t>
  </si>
  <si>
    <t>Transporte y montaje de la maquinaria</t>
  </si>
  <si>
    <t>Rodados y equipos auxiliares</t>
  </si>
  <si>
    <t>Muebles y útiles*</t>
  </si>
  <si>
    <t>Infraestructura en Redes y Telecomunicaciones</t>
  </si>
  <si>
    <t>Infraestructura en predio propio</t>
  </si>
  <si>
    <t>Total Bienes de uso</t>
  </si>
  <si>
    <t>b) Gastos asimilables o cargos diferidos</t>
  </si>
  <si>
    <t>Gastos de puesta en marcha (AL AÑO 1)</t>
  </si>
  <si>
    <t>Patentes y Licencias</t>
  </si>
  <si>
    <t>Publicidad y Marca</t>
  </si>
  <si>
    <t>Infraestructura en predio ajeno</t>
  </si>
  <si>
    <t>Total gastos asimilables o cargos diferidos</t>
  </si>
  <si>
    <t>c) Total Inversiones iniciales Activo Fijo, sin IVA</t>
  </si>
  <si>
    <t xml:space="preserve">d) IVA </t>
  </si>
  <si>
    <t>e) TOTAL INVERSIONES INICIALES ACTIVO FIJO</t>
  </si>
  <si>
    <t>*Incluye depósito, matafuegos, etc.</t>
  </si>
  <si>
    <t>Rubro</t>
  </si>
  <si>
    <t>Inversión</t>
  </si>
  <si>
    <t>Coeficiente</t>
  </si>
  <si>
    <t>Alícuotas de amortización</t>
  </si>
  <si>
    <t>Valor residual</t>
  </si>
  <si>
    <t>original</t>
  </si>
  <si>
    <t>Años 1/3</t>
  </si>
  <si>
    <t>Años 4/5</t>
  </si>
  <si>
    <t>Bienes de Uso</t>
  </si>
  <si>
    <t>Muebles y útiles</t>
  </si>
  <si>
    <t xml:space="preserve">Cargos Diferidos </t>
  </si>
  <si>
    <t>Totales, s/IVA</t>
  </si>
  <si>
    <t>INVERSIONES EN ACTIVO DE TRABAJO</t>
  </si>
  <si>
    <r>
      <rPr>
        <b/>
        <sz val="10"/>
        <rFont val="Arial"/>
        <family val="2"/>
        <charset val="1"/>
      </rPr>
      <t xml:space="preserve">1. Activo de Trabajo: </t>
    </r>
    <r>
      <rPr>
        <sz val="10"/>
        <rFont val="Arial"/>
        <family val="2"/>
        <charset val="1"/>
      </rPr>
      <t>(valor contable)</t>
    </r>
  </si>
  <si>
    <t xml:space="preserve">   a) Disponibilidad Mínima en Caja y Bancos:</t>
  </si>
  <si>
    <t xml:space="preserve">   b) Crédito por Ventas:</t>
  </si>
  <si>
    <t xml:space="preserve">Cred. x Vtas </t>
  </si>
  <si>
    <t xml:space="preserve">   c) Bienes de cambio:</t>
  </si>
  <si>
    <t xml:space="preserve">   Stock de materias prima:</t>
  </si>
  <si>
    <t xml:space="preserve">   Stock de materiales:</t>
  </si>
  <si>
    <t xml:space="preserve">   Mercadería en curso y semielaborada</t>
  </si>
  <si>
    <t xml:space="preserve">   Stock de elaborados:</t>
  </si>
  <si>
    <t xml:space="preserve">   d) Total Activo de Trabajo, sin IVA:</t>
  </si>
  <si>
    <t>2. Menos:</t>
  </si>
  <si>
    <t xml:space="preserve">    Amortizaciones en Mercadería en proceso</t>
  </si>
  <si>
    <t xml:space="preserve">    Amortizaciones en Stock de elaborado</t>
  </si>
  <si>
    <t xml:space="preserve">    Utilidades en Crédito por ventas</t>
  </si>
  <si>
    <t xml:space="preserve">    Amortizaciones en Crédito por ventas</t>
  </si>
  <si>
    <t>3. Inversiones en Activo de Trabajo, sin IVA</t>
  </si>
  <si>
    <t>4. Incrementos de Activo de Trabajo</t>
  </si>
  <si>
    <t xml:space="preserve">    Incrementos de Inversión en Activo de Trabajo</t>
  </si>
  <si>
    <t>5. Incrementos IVA sobre Inversiones</t>
  </si>
  <si>
    <t xml:space="preserve">    Crédito por Ventas                             </t>
  </si>
  <si>
    <t xml:space="preserve">    Bienes de cambio:</t>
  </si>
  <si>
    <t xml:space="preserve">               Stock de materia prima</t>
  </si>
  <si>
    <t xml:space="preserve">               Stock de materiales</t>
  </si>
  <si>
    <t xml:space="preserve">               Mercadería en proceso</t>
  </si>
  <si>
    <t xml:space="preserve">               Stock de elaborados</t>
  </si>
  <si>
    <t xml:space="preserve">   Total incrementos IVA sobre inversiones</t>
  </si>
  <si>
    <t>6. Incrementos Inversiones en Activo de Trabajo</t>
  </si>
  <si>
    <t>Formulación del Proyecto a Nivel Económico</t>
  </si>
  <si>
    <t>Inversión en Activo Fijo</t>
  </si>
  <si>
    <t>Inversión en Activo de Trabajo</t>
  </si>
  <si>
    <t>Credito Fiscal</t>
  </si>
  <si>
    <t>Impuesto a las Ganancias</t>
  </si>
  <si>
    <t>Total Egresos</t>
  </si>
  <si>
    <t>Utilidad Economica Antes  HD e IG</t>
  </si>
  <si>
    <t>Cobro Credito Fiscal</t>
  </si>
  <si>
    <t>Total Ingresos</t>
  </si>
  <si>
    <t>Saldo Anual</t>
  </si>
  <si>
    <t>Saldo Acumulado</t>
  </si>
  <si>
    <t>Suma.</t>
  </si>
  <si>
    <t>Beneficio Neto</t>
  </si>
  <si>
    <t>Periodo de Recupero de la Inversión</t>
  </si>
  <si>
    <t>en años</t>
  </si>
  <si>
    <t>TIR</t>
  </si>
  <si>
    <t>Verificaciones</t>
  </si>
  <si>
    <t>Set A</t>
  </si>
  <si>
    <t>AT</t>
  </si>
  <si>
    <t>BN Proyecto</t>
  </si>
  <si>
    <t>Reglas y consideraciones a tener en cuenta antes de entregar para corregir</t>
  </si>
  <si>
    <t>Tasa porcentual de IVA</t>
  </si>
  <si>
    <r>
      <rPr>
        <sz val="10"/>
        <color rgb="FFFFFFFF"/>
        <rFont val="Arial"/>
        <family val="2"/>
        <charset val="1"/>
      </rPr>
      <t xml:space="preserve">1. TODAS las celdas que tomen datos de otra parte del archivo deben estar linkeadas con una </t>
    </r>
    <r>
      <rPr>
        <b/>
        <sz val="10"/>
        <color rgb="FFFFFFFF"/>
        <rFont val="Arial"/>
        <family val="2"/>
        <charset val="1"/>
      </rPr>
      <t>FÓRMULA</t>
    </r>
    <r>
      <rPr>
        <sz val="10"/>
        <color rgb="FFFFFFFF"/>
        <rFont val="Arial"/>
        <family val="2"/>
        <charset val="1"/>
      </rPr>
      <t>. No se corregirán TPs con datos escritos como valores (esto vale incluso para la tasa de HD, IG e IVA). Tampoco se aceptarán fórmulas que hagan referencia a otros archivos.</t>
    </r>
  </si>
  <si>
    <t>Tasa porcentual de Impuesto a las Ganancias</t>
  </si>
  <si>
    <t>Variable sobre Utilidad económica antes de HD e IG</t>
  </si>
  <si>
    <t>Tiempo de Amortización Activos Fijos:</t>
  </si>
  <si>
    <t>Se considera una depreciación lineal y un valor residual nulo</t>
  </si>
  <si>
    <r>
      <rPr>
        <b/>
        <sz val="10"/>
        <color rgb="FFFFFFFF"/>
        <rFont val="Arial"/>
        <family val="2"/>
        <charset val="1"/>
      </rPr>
      <t>2. TODOS</t>
    </r>
    <r>
      <rPr>
        <sz val="10"/>
        <color rgb="FFFFFFFF"/>
        <rFont val="Arial"/>
        <family val="2"/>
        <charset val="1"/>
      </rPr>
      <t xml:space="preserve"> los valores que se ingresen al archivo por primera vez deben tener su respectiva referencia o </t>
    </r>
    <r>
      <rPr>
        <b/>
        <sz val="10"/>
        <color rgb="FFFFFFFF"/>
        <rFont val="Arial"/>
        <family val="2"/>
        <charset val="1"/>
      </rPr>
      <t>FUENTE</t>
    </r>
    <r>
      <rPr>
        <sz val="10"/>
        <color rgb="FFFFFFFF"/>
        <rFont val="Arial"/>
        <family val="2"/>
        <charset val="1"/>
      </rPr>
      <t xml:space="preserve"> (ej. cálculos auxiliares en otra hoja, links, etc.)</t>
    </r>
  </si>
  <si>
    <t xml:space="preserve">    edificios y obras complementarias</t>
  </si>
  <si>
    <t>años</t>
  </si>
  <si>
    <t xml:space="preserve">    instalaciones industriales</t>
  </si>
  <si>
    <r>
      <rPr>
        <b/>
        <sz val="10"/>
        <color rgb="FFFFFFFF"/>
        <rFont val="Arial"/>
        <family val="2"/>
        <charset val="1"/>
      </rPr>
      <t>3.</t>
    </r>
    <r>
      <rPr>
        <sz val="10"/>
        <color rgb="FFFFFFFF"/>
        <rFont val="Arial"/>
        <family val="2"/>
        <charset val="1"/>
      </rPr>
      <t xml:space="preserve"> Los datos utilizados tienen que tener concordancia con los dimensionamientos anteriores.</t>
    </r>
  </si>
  <si>
    <t xml:space="preserve">    máquinas, equipos y accesorios</t>
  </si>
  <si>
    <r>
      <rPr>
        <b/>
        <sz val="10"/>
        <color rgb="FFFFFFFF"/>
        <rFont val="Arial"/>
        <family val="2"/>
        <charset val="1"/>
      </rPr>
      <t>4.</t>
    </r>
    <r>
      <rPr>
        <sz val="10"/>
        <color rgb="FFFFFFFF"/>
        <rFont val="Arial"/>
        <family val="2"/>
        <charset val="1"/>
      </rPr>
      <t xml:space="preserve"> El SET "A" de verificaciones en la hoja “E-Form” debe estar OK antes de entregar una primer versión para corregir.</t>
    </r>
  </si>
  <si>
    <t xml:space="preserve">    rodados y equipos auxiliares</t>
  </si>
  <si>
    <t xml:space="preserve">    muebles y útiles</t>
  </si>
  <si>
    <r>
      <rPr>
        <b/>
        <sz val="10"/>
        <color rgb="FFFFFFFF"/>
        <rFont val="Arial"/>
        <family val="2"/>
        <charset val="1"/>
      </rPr>
      <t xml:space="preserve">5. </t>
    </r>
    <r>
      <rPr>
        <sz val="10"/>
        <color rgb="FFFFFFFF"/>
        <rFont val="Arial"/>
        <family val="2"/>
        <charset val="1"/>
      </rPr>
      <t>El SET "A", “B” y “C” de verificaciones en la hoja “F-Form” debe estar OK antes de la entrega final</t>
    </r>
  </si>
  <si>
    <t>Otros Activos y Cargos Diferidos</t>
  </si>
  <si>
    <t>Nombre del Producto</t>
  </si>
  <si>
    <t xml:space="preserve">Tapas para Empanadas </t>
  </si>
  <si>
    <t>Ventas Anuales Hojaldre</t>
  </si>
  <si>
    <t>en Unidades</t>
  </si>
  <si>
    <t>en régimen</t>
  </si>
  <si>
    <t>Precio Hojaldre</t>
  </si>
  <si>
    <t>en $</t>
  </si>
  <si>
    <t>Ventas Anuales Rotiseras</t>
  </si>
  <si>
    <t>Precio Rotiseras</t>
  </si>
  <si>
    <t xml:space="preserve">Cantidad de personal total </t>
  </si>
  <si>
    <t>en Producción</t>
  </si>
  <si>
    <t>personas</t>
  </si>
  <si>
    <t>12 operarios por turno + un supervisor por turno</t>
  </si>
  <si>
    <t>en Comercialización</t>
  </si>
  <si>
    <t>en Administración</t>
  </si>
  <si>
    <t>en Total</t>
  </si>
  <si>
    <t>Tamaño de la planta en metros cuadrados</t>
  </si>
  <si>
    <t>m2</t>
  </si>
  <si>
    <t>1224 corresponde al sector productivo y 204 al resto</t>
  </si>
  <si>
    <t>Periodo de Instalación</t>
  </si>
  <si>
    <t>en meses</t>
  </si>
  <si>
    <t>Período de Puesta en Marcha</t>
  </si>
  <si>
    <t>Tasa de Cambio</t>
  </si>
  <si>
    <t>$ por cada</t>
  </si>
  <si>
    <t>U$S</t>
  </si>
  <si>
    <t>tipo de cambio vendedor del BNA al 23/09/2022</t>
  </si>
  <si>
    <t>Tasa de Credito Bancario</t>
  </si>
  <si>
    <t>anual</t>
  </si>
  <si>
    <t>Rubro a financiar</t>
  </si>
  <si>
    <t>EDIFICIO Y OBRAS COMPLEMENTARIAS</t>
  </si>
  <si>
    <t>Año 6</t>
  </si>
  <si>
    <t>% sobre el total del Rubro</t>
  </si>
  <si>
    <t>Semestral</t>
  </si>
  <si>
    <t>tasa trimestral</t>
  </si>
  <si>
    <t>Dias de Financiación de Proveedores</t>
  </si>
  <si>
    <t>% sobre Compras</t>
  </si>
  <si>
    <t>Tasa de financiación</t>
  </si>
  <si>
    <t>mensual</t>
  </si>
  <si>
    <t>Ley</t>
  </si>
  <si>
    <t>CREDITO RENOVABLE DE PROVEEDORES.</t>
  </si>
  <si>
    <t>Monto de compra</t>
  </si>
  <si>
    <t>Credito</t>
  </si>
  <si>
    <t>Cancelacion</t>
  </si>
  <si>
    <t>Intereses</t>
  </si>
  <si>
    <t>Tn MP</t>
  </si>
  <si>
    <t>Precio / Tn</t>
  </si>
  <si>
    <t>Total anual</t>
  </si>
  <si>
    <t>Total mensual</t>
  </si>
  <si>
    <t>Enero</t>
  </si>
  <si>
    <t>Febrero</t>
  </si>
  <si>
    <t>Marzo</t>
  </si>
  <si>
    <t>Abril</t>
  </si>
  <si>
    <t>Mayo</t>
  </si>
  <si>
    <t>Junio</t>
  </si>
  <si>
    <t>Julio</t>
  </si>
  <si>
    <t>Agosto</t>
  </si>
  <si>
    <t>Septiembre</t>
  </si>
  <si>
    <t>Octubre</t>
  </si>
  <si>
    <t>Noviembre</t>
  </si>
  <si>
    <t>Diciembre</t>
  </si>
  <si>
    <t>Total Intereses</t>
  </si>
  <si>
    <t xml:space="preserve">Estos intereses equivalen a un credio anual de </t>
  </si>
  <si>
    <t>Monto del credito</t>
  </si>
  <si>
    <t>% Credito sobre gastos Bancarios</t>
  </si>
  <si>
    <t>Años</t>
  </si>
  <si>
    <t>Amortizaciones de intereses y Gastos preoperativos</t>
  </si>
  <si>
    <t xml:space="preserve">Intereses devengados año a año </t>
  </si>
  <si>
    <t>Gasto financiero</t>
  </si>
  <si>
    <t>PRIMERA ESTRUCTURA FINANCIERA</t>
  </si>
  <si>
    <t>Total Inversión</t>
  </si>
  <si>
    <t>CréditoS</t>
  </si>
  <si>
    <t>Capital Propio</t>
  </si>
  <si>
    <t>monto</t>
  </si>
  <si>
    <t>%</t>
  </si>
  <si>
    <t xml:space="preserve">Activo Fijo </t>
  </si>
  <si>
    <t xml:space="preserve">Activo de Trabajo </t>
  </si>
  <si>
    <t>CUADRO RESUMEN DE CREDITOS</t>
  </si>
  <si>
    <t>día/mes/año</t>
  </si>
  <si>
    <t>deuda</t>
  </si>
  <si>
    <t>amortización</t>
  </si>
  <si>
    <t>interés</t>
  </si>
  <si>
    <t xml:space="preserve">deuda </t>
  </si>
  <si>
    <t>gasto</t>
  </si>
  <si>
    <t>semestral</t>
  </si>
  <si>
    <t>prom. anual</t>
  </si>
  <si>
    <t>kd</t>
  </si>
  <si>
    <t>bancario</t>
  </si>
  <si>
    <t>1/5/-1</t>
  </si>
  <si>
    <t>1/8/-1</t>
  </si>
  <si>
    <t>1/11/-1</t>
  </si>
  <si>
    <t>31/12/-1</t>
  </si>
  <si>
    <t>Intereses y gastos preoperativos</t>
  </si>
  <si>
    <t>gastos preoperativos:</t>
  </si>
  <si>
    <t>Totales:</t>
  </si>
  <si>
    <t>CUADRO DE RESULTADOS PROFORMA</t>
  </si>
  <si>
    <t>Ventas netas</t>
  </si>
  <si>
    <t>(-) Costo de producción de lo Vendido</t>
  </si>
  <si>
    <t>Resultado operativo</t>
  </si>
  <si>
    <t>Gastos de Administración</t>
  </si>
  <si>
    <t>Gastos de Comercialización</t>
  </si>
  <si>
    <t>Gastos Financieros</t>
  </si>
  <si>
    <t>RESULTADO (a/Hon. e Imp.)</t>
  </si>
  <si>
    <t>Menos: Honorarios al Direct.</t>
  </si>
  <si>
    <t>Menos: Impuesto a la Ganancia</t>
  </si>
  <si>
    <t>RESULTADO (d/Hon. e Imp.)</t>
  </si>
  <si>
    <t>a) IVA pagado en el Costo Total de lo Vendido:</t>
  </si>
  <si>
    <t xml:space="preserve">   Total pagado en el Area de Producción</t>
  </si>
  <si>
    <t xml:space="preserve">  Total pagado en el Area Administrativa</t>
  </si>
  <si>
    <t xml:space="preserve">  Total pagado en el Area Comercial </t>
  </si>
  <si>
    <t xml:space="preserve">  Total pagado por Financiación</t>
  </si>
  <si>
    <t xml:space="preserve">  IVA abonado en Costo Total de lo Vendido:</t>
  </si>
  <si>
    <t>b) IVA diferencia</t>
  </si>
  <si>
    <t>c) Crédito Fiscal Anterior (incrementado)</t>
  </si>
  <si>
    <t>d) Crédito Fiscal del Año (incrementado)</t>
  </si>
  <si>
    <t>e) Crédito Fiscal Final Año</t>
  </si>
  <si>
    <t>f) Recupero Credito Fiscal</t>
  </si>
  <si>
    <t>SEGUNDA ESTRUCTURA FINANCIERA</t>
  </si>
  <si>
    <t>a) Inversión y calendario de activo fijo: incrementos</t>
  </si>
  <si>
    <t>Bienes de uso</t>
  </si>
  <si>
    <t>Cargos diferidos:</t>
  </si>
  <si>
    <t>Totales de activo fijo, sin IVA</t>
  </si>
  <si>
    <t xml:space="preserve">IVA   </t>
  </si>
  <si>
    <t>Totales de activo fijo, con IVA</t>
  </si>
  <si>
    <t>b) Inversión y calendario de activo de trabajo: incrementos</t>
  </si>
  <si>
    <t>Disponibilidad mínima</t>
  </si>
  <si>
    <t>Crédito por ventas (valor contable)</t>
  </si>
  <si>
    <t>Bienes de cambio (valor contable)</t>
  </si>
  <si>
    <t>Totales activo de trabajo, sin IVA</t>
  </si>
  <si>
    <t>Amortizaciones en inventarios</t>
  </si>
  <si>
    <t>Amortizaciones en crédito</t>
  </si>
  <si>
    <t>Utilidades en crédito</t>
  </si>
  <si>
    <t>Inversión activo de trabajo, s/IVA</t>
  </si>
  <si>
    <t>Totales activo de trabajo (v. contable), c/IVA</t>
  </si>
  <si>
    <t>Inversión activo de trabajo, con IVA</t>
  </si>
  <si>
    <t>c) Inversión y calendario totales: incrementos</t>
  </si>
  <si>
    <t>Activo fijo, con IVA</t>
  </si>
  <si>
    <t>Inversión activo de trabajo, c/IVA</t>
  </si>
  <si>
    <t>Inversiones Totales, con IVA</t>
  </si>
  <si>
    <t>d) Financiación global (segunda y definitiva):</t>
  </si>
  <si>
    <t>Porcentaje</t>
  </si>
  <si>
    <t>Crédito renovable</t>
  </si>
  <si>
    <t>Crédito no renovable</t>
  </si>
  <si>
    <t>Capital propio</t>
  </si>
  <si>
    <t>PUNTO DE EQUILIBRIO ECONOMICO FINANCIERO</t>
  </si>
  <si>
    <t>Gasto Financiero</t>
  </si>
  <si>
    <t>HACER DIAGRAMA DE PUNTO DE EQUILIBRIO PARA EL AÑO 1 Y PARA EL AÑO 10</t>
  </si>
  <si>
    <t>CUADRO DE FUENTES Y USOS</t>
  </si>
  <si>
    <t>FUENTES: Totales</t>
  </si>
  <si>
    <t>Saldo ejercicio anterior</t>
  </si>
  <si>
    <t>Aporte de capital propio</t>
  </si>
  <si>
    <t xml:space="preserve">Créditos renovables </t>
  </si>
  <si>
    <t xml:space="preserve">Créditos no renovables </t>
  </si>
  <si>
    <t xml:space="preserve">Ventas del ejercicio </t>
  </si>
  <si>
    <t>Recupero Crédito Fiscal</t>
  </si>
  <si>
    <t>USOS: Totales</t>
  </si>
  <si>
    <t>Activo Fijo</t>
  </si>
  <si>
    <t>Costo de lo Vendido</t>
  </si>
  <si>
    <t>Impuesto a la Ganancia</t>
  </si>
  <si>
    <t>Cancelación de deudas</t>
  </si>
  <si>
    <t xml:space="preserve">Honorarios del Directorio </t>
  </si>
  <si>
    <t>Dividendos en efectivo</t>
  </si>
  <si>
    <t xml:space="preserve">IVA inversión </t>
  </si>
  <si>
    <t>Otros egresos</t>
  </si>
  <si>
    <t>FUENTES - USOS</t>
  </si>
  <si>
    <t xml:space="preserve">Más: Amortizaciones del ejercicio </t>
  </si>
  <si>
    <t>Saldo al ejercicio siguiente (acumulado)</t>
  </si>
  <si>
    <t>Saldo Propio del Ejercicio</t>
  </si>
  <si>
    <t>BALANCES PROFORMAS</t>
  </si>
  <si>
    <t>ACTIVO CORRIENTE: Total</t>
  </si>
  <si>
    <t xml:space="preserve">Caja y Bancos: </t>
  </si>
  <si>
    <t xml:space="preserve">   - mínimo </t>
  </si>
  <si>
    <t xml:space="preserve">   - saldo acumulado de Fuentes y Usos </t>
  </si>
  <si>
    <t>Crédito por ventas</t>
  </si>
  <si>
    <t>Bienes de cambio</t>
  </si>
  <si>
    <t>Crédito Fiscal</t>
  </si>
  <si>
    <t>ACTIVO NO CORRIENTE: Total</t>
  </si>
  <si>
    <t>Cargos Diferidos:</t>
  </si>
  <si>
    <t xml:space="preserve">   - valor inicial </t>
  </si>
  <si>
    <t xml:space="preserve">     más inversiones del ejercicio </t>
  </si>
  <si>
    <t xml:space="preserve">     menos amortizaciones del ejerc.</t>
  </si>
  <si>
    <t xml:space="preserve">   - valor final del ejercicio</t>
  </si>
  <si>
    <t xml:space="preserve">     más inversiones del ejercicio</t>
  </si>
  <si>
    <t xml:space="preserve">     menos amortizaciones del ejerc</t>
  </si>
  <si>
    <t xml:space="preserve">Crédito Fiscal </t>
  </si>
  <si>
    <t>ACTIVO TOTAL:</t>
  </si>
  <si>
    <t>PASIVO CORRIENTE: Total</t>
  </si>
  <si>
    <t>Deudas comerciales</t>
  </si>
  <si>
    <t>Deudas bancarias Corrientes</t>
  </si>
  <si>
    <t>PASIVO NO CORRIENTE: Total</t>
  </si>
  <si>
    <t>Deudas bancarias NO Corrientes</t>
  </si>
  <si>
    <t>PASIVO TOTAL:</t>
  </si>
  <si>
    <t>PATRIMONIO NETO:</t>
  </si>
  <si>
    <t>Capital societario</t>
  </si>
  <si>
    <t>Utilidad del ejercicio</t>
  </si>
  <si>
    <t>Utilidad acumulada</t>
  </si>
  <si>
    <t>PASIVO + PATRIMONIO NETO</t>
  </si>
  <si>
    <t>Verificación</t>
  </si>
  <si>
    <t>Formulación del Proyecto a Nivel Financiero</t>
  </si>
  <si>
    <t>Activo de Trabajo</t>
  </si>
  <si>
    <t>Utilidad  Antes  HD e IG</t>
  </si>
  <si>
    <t>Intereses Pagados</t>
  </si>
  <si>
    <t>TIR modificada</t>
  </si>
  <si>
    <t>k0</t>
  </si>
  <si>
    <t>VAN (k0)</t>
  </si>
  <si>
    <t>Formulación para el Inversor</t>
  </si>
  <si>
    <t>Aporte de Capital</t>
  </si>
  <si>
    <t>Saldo propio de Fuentes y Usos</t>
  </si>
  <si>
    <t>Set B</t>
  </si>
  <si>
    <t>BN Inversor 1</t>
  </si>
  <si>
    <t>BN Inversor 2</t>
  </si>
  <si>
    <t>BN Inversor 3</t>
  </si>
  <si>
    <t>BN Inversor 4</t>
  </si>
  <si>
    <t>para el inversor</t>
  </si>
  <si>
    <t>BN Inversor 5</t>
  </si>
  <si>
    <t>en años para el inversor</t>
  </si>
  <si>
    <t>Set C</t>
  </si>
  <si>
    <t>TOR</t>
  </si>
  <si>
    <t>Balance</t>
  </si>
  <si>
    <t>Original</t>
  </si>
  <si>
    <t>VAN</t>
  </si>
  <si>
    <t>PRI</t>
  </si>
  <si>
    <t>Alternativa</t>
  </si>
  <si>
    <t>Diferencia</t>
  </si>
  <si>
    <t>4)</t>
  </si>
  <si>
    <t>Analisis de un escenario: "Pandemia" Disminucion de ventas, disminucion en la produccion, disminucion de sueldos al 50%, duplicar el plazo de credito por ventas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</si>
</sst>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3" formatCode="_-* #,##0.00_-;\-* #,##0.00_-;_-* &quot;-&quot;??_-;_-@_-"/>
    <numFmt numFmtId="164" formatCode="0\ %"/>
    <numFmt numFmtId="165" formatCode="_-[$$-409]* #,##0.00_ ;_-[$$-409]* \-#,##0.00\ ;_-[$$-409]* \-??_ ;_-@_ "/>
    <numFmt numFmtId="166" formatCode="_(\$* #,##0.00_);_(\$* \(#,##0.00\);_(\$* \-??_);_(@_)"/>
    <numFmt numFmtId="167" formatCode="_([$$-409]* #,##0.00_);_([$$-409]* \(#,##0.00\);_([$$-409]* \-??_);_(@_)"/>
    <numFmt numFmtId="168" formatCode="#,##0.00_ ;\-#,##0.00\ "/>
    <numFmt numFmtId="169" formatCode="#,##0_ ;\-#,##0\ "/>
    <numFmt numFmtId="170" formatCode="_(* #,##0.00_);_(* \(#,##0.00\);_(* \-??_);_(@_)"/>
    <numFmt numFmtId="171" formatCode="_(* #,##0_);_(* \(#,##0\);_(* \-??_);_(@_)"/>
    <numFmt numFmtId="172" formatCode="0.00\ %"/>
    <numFmt numFmtId="173" formatCode="\$#,##0.00"/>
    <numFmt numFmtId="174" formatCode="&quot;$ &quot;#,##0;[Red]&quot;-$ &quot;#,##0"/>
    <numFmt numFmtId="175" formatCode="&quot;$ &quot;#,##0.00"/>
    <numFmt numFmtId="176" formatCode="&quot;$ &quot;#,##0.00;[Red]&quot;-$ &quot;#,##0.00"/>
    <numFmt numFmtId="177" formatCode="_-* #,##0_-;\-* #,##0_-;_-* \-??_-;_-@_-"/>
    <numFmt numFmtId="178" formatCode="0.0"/>
    <numFmt numFmtId="179" formatCode="0.000"/>
    <numFmt numFmtId="180" formatCode="_-[$$-2C0A]\ * #,##0.00_-;\-[$$-2C0A]\ * #,##0.00_-;_-[$$-2C0A]\ * \-??_-;_-@_-"/>
    <numFmt numFmtId="181" formatCode="0.0\ %"/>
    <numFmt numFmtId="182" formatCode="_-* #,##0.00_-;\-* #,##0.00_-;_-* \-??_-;_-@"/>
    <numFmt numFmtId="183" formatCode="d&quot; de &quot;mmm&quot; de &quot;yy"/>
    <numFmt numFmtId="184" formatCode="_-[$$-409]* #,##0.00_ ;_-[$$-409]* \-#,##0.00\ ;_-[$$-409]* &quot;-&quot;??_ ;_-@_ "/>
    <numFmt numFmtId="185" formatCode="_-* #,##0.000_-;\-* #,##0.000_-;_-* &quot;-&quot;??_-;_-@_-"/>
  </numFmts>
  <fonts count="41" x14ac:knownFonts="1">
    <font>
      <sz val="10"/>
      <name val="Arial"/>
      <family val="2"/>
      <charset val="1"/>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sz val="10"/>
      <color rgb="FF996600"/>
      <name val="Arial"/>
      <family val="2"/>
      <charset val="1"/>
    </font>
    <font>
      <sz val="10"/>
      <color rgb="FF333333"/>
      <name val="Arial"/>
      <family val="2"/>
      <charset val="1"/>
    </font>
    <font>
      <b/>
      <u/>
      <sz val="16"/>
      <color rgb="FF000000"/>
      <name val="Arial"/>
      <family val="2"/>
      <charset val="1"/>
    </font>
    <font>
      <u/>
      <sz val="10"/>
      <name val="Arial"/>
      <family val="2"/>
      <charset val="1"/>
    </font>
    <font>
      <b/>
      <sz val="10"/>
      <name val="Arial"/>
      <family val="2"/>
      <charset val="1"/>
    </font>
    <font>
      <u/>
      <sz val="12"/>
      <color rgb="FF000000"/>
      <name val="Calibri"/>
      <family val="2"/>
      <charset val="1"/>
    </font>
    <font>
      <sz val="11"/>
      <color rgb="FF222222"/>
      <name val="Arial"/>
      <family val="2"/>
      <charset val="1"/>
    </font>
    <font>
      <u/>
      <sz val="10"/>
      <color rgb="FF0563C1"/>
      <name val="Arial"/>
      <family val="2"/>
      <charset val="1"/>
    </font>
    <font>
      <sz val="11"/>
      <color rgb="FF000000"/>
      <name val="Calibri"/>
      <family val="2"/>
      <charset val="1"/>
    </font>
    <font>
      <b/>
      <sz val="11"/>
      <color rgb="FFFFFFFF"/>
      <name val="Calibri"/>
      <family val="2"/>
      <charset val="1"/>
    </font>
    <font>
      <b/>
      <sz val="11"/>
      <color rgb="FF000000"/>
      <name val="Calibri"/>
      <family val="2"/>
      <charset val="1"/>
    </font>
    <font>
      <sz val="8"/>
      <color rgb="FF222222"/>
      <name val="Arial"/>
      <family val="2"/>
      <charset val="1"/>
    </font>
    <font>
      <b/>
      <sz val="12"/>
      <color rgb="FF000000"/>
      <name val="Calibri"/>
      <family val="2"/>
      <charset val="1"/>
    </font>
    <font>
      <sz val="10"/>
      <color rgb="FF000000"/>
      <name val="Calibri"/>
      <family val="2"/>
      <charset val="1"/>
    </font>
    <font>
      <b/>
      <i/>
      <sz val="11"/>
      <color rgb="FF9900FF"/>
      <name val="Calibri"/>
      <family val="2"/>
      <charset val="1"/>
    </font>
    <font>
      <b/>
      <sz val="10"/>
      <color rgb="FF000000"/>
      <name val="Calibri"/>
      <family val="2"/>
      <charset val="1"/>
    </font>
    <font>
      <sz val="10"/>
      <name val="Calibri"/>
      <family val="2"/>
      <charset val="1"/>
    </font>
    <font>
      <sz val="10"/>
      <color rgb="FF000000"/>
      <name val="Arial"/>
      <family val="2"/>
      <charset val="1"/>
    </font>
    <font>
      <u/>
      <sz val="12"/>
      <name val="Arial"/>
      <family val="2"/>
      <charset val="1"/>
    </font>
    <font>
      <sz val="10"/>
      <color rgb="FF000000"/>
      <name val="Tahoma"/>
      <family val="2"/>
      <charset val="1"/>
    </font>
    <font>
      <sz val="10"/>
      <color rgb="FF9900FF"/>
      <name val="Calibri"/>
      <family val="2"/>
      <charset val="1"/>
    </font>
    <font>
      <b/>
      <sz val="11"/>
      <color rgb="FF222222"/>
      <name val="Arial"/>
      <family val="2"/>
      <charset val="1"/>
    </font>
    <font>
      <b/>
      <i/>
      <sz val="10"/>
      <name val="Arial"/>
      <family val="2"/>
      <charset val="1"/>
    </font>
    <font>
      <b/>
      <sz val="11"/>
      <color rgb="FFFFFFFF"/>
      <name val="Arial"/>
      <family val="2"/>
      <charset val="1"/>
    </font>
    <font>
      <b/>
      <sz val="12"/>
      <name val="Arial"/>
      <family val="2"/>
      <charset val="1"/>
    </font>
    <font>
      <i/>
      <sz val="8"/>
      <name val="Arial"/>
      <family val="2"/>
      <charset val="1"/>
    </font>
    <font>
      <b/>
      <sz val="11"/>
      <color rgb="FF000000"/>
      <name val="Arial"/>
      <family val="2"/>
      <charset val="1"/>
    </font>
    <font>
      <sz val="8"/>
      <name val="Arial"/>
      <family val="2"/>
      <charset val="1"/>
    </font>
    <font>
      <sz val="12"/>
      <name val="Symbol"/>
      <family val="1"/>
      <charset val="2"/>
    </font>
    <font>
      <sz val="10"/>
      <name val="Arial"/>
      <family val="2"/>
      <charset val="1"/>
    </font>
    <font>
      <sz val="9"/>
      <color indexed="81"/>
      <name val="Tahoma"/>
      <family val="2"/>
    </font>
    <font>
      <b/>
      <sz val="9"/>
      <color indexed="81"/>
      <name val="Tahoma"/>
      <family val="2"/>
    </font>
  </fonts>
  <fills count="25">
    <fill>
      <patternFill patternType="none"/>
    </fill>
    <fill>
      <patternFill patternType="gray125"/>
    </fill>
    <fill>
      <patternFill patternType="solid">
        <fgColor rgb="FF000000"/>
        <bgColor rgb="FF222222"/>
      </patternFill>
    </fill>
    <fill>
      <patternFill patternType="solid">
        <fgColor rgb="FF808080"/>
        <bgColor rgb="FFA5A5A5"/>
      </patternFill>
    </fill>
    <fill>
      <patternFill patternType="solid">
        <fgColor rgb="FFDDDDDD"/>
        <bgColor rgb="FFD9D9D9"/>
      </patternFill>
    </fill>
    <fill>
      <patternFill patternType="solid">
        <fgColor rgb="FFFFCCCC"/>
        <bgColor rgb="FFDDDDDD"/>
      </patternFill>
    </fill>
    <fill>
      <patternFill patternType="solid">
        <fgColor rgb="FFCC0000"/>
        <bgColor rgb="FFED1C24"/>
      </patternFill>
    </fill>
    <fill>
      <patternFill patternType="solid">
        <fgColor rgb="FFCCFFCC"/>
        <bgColor rgb="FFFFFFCC"/>
      </patternFill>
    </fill>
    <fill>
      <patternFill patternType="solid">
        <fgColor rgb="FFFFFFCC"/>
        <bgColor rgb="FFFFF2CC"/>
      </patternFill>
    </fill>
    <fill>
      <patternFill patternType="solid">
        <fgColor rgb="FF62A73B"/>
        <bgColor rgb="FF808080"/>
      </patternFill>
    </fill>
    <fill>
      <patternFill patternType="solid">
        <fgColor rgb="FFED1C24"/>
        <bgColor rgb="FFCC0000"/>
      </patternFill>
    </fill>
    <fill>
      <patternFill patternType="solid">
        <fgColor rgb="FFFFE699"/>
        <bgColor rgb="FFFFE598"/>
      </patternFill>
    </fill>
    <fill>
      <patternFill patternType="solid">
        <fgColor rgb="FFF8F9FA"/>
        <bgColor rgb="FFFFFFFF"/>
      </patternFill>
    </fill>
    <fill>
      <patternFill patternType="solid">
        <fgColor rgb="FFFFE598"/>
        <bgColor rgb="FFFFE699"/>
      </patternFill>
    </fill>
    <fill>
      <patternFill patternType="solid">
        <fgColor rgb="FFD0CECE"/>
        <bgColor rgb="FFD9D9D9"/>
      </patternFill>
    </fill>
    <fill>
      <patternFill patternType="solid">
        <fgColor rgb="FFFFFFFF"/>
        <bgColor rgb="FFF8F9FA"/>
      </patternFill>
    </fill>
    <fill>
      <patternFill patternType="solid">
        <fgColor rgb="FFFFFF00"/>
        <bgColor rgb="FFFFE598"/>
      </patternFill>
    </fill>
    <fill>
      <patternFill patternType="solid">
        <fgColor rgb="FFFF420E"/>
        <bgColor rgb="FFED1C24"/>
      </patternFill>
    </fill>
    <fill>
      <patternFill patternType="solid">
        <fgColor rgb="FFC0C0C0"/>
        <bgColor rgb="FFD0CECE"/>
      </patternFill>
    </fill>
    <fill>
      <patternFill patternType="solid">
        <fgColor rgb="FFFF1493"/>
        <bgColor rgb="FFED1C24"/>
      </patternFill>
    </fill>
    <fill>
      <patternFill patternType="solid">
        <fgColor rgb="FFFFF2CC"/>
        <bgColor rgb="FFFFFFCC"/>
      </patternFill>
    </fill>
    <fill>
      <patternFill patternType="solid">
        <fgColor rgb="FF7030A0"/>
        <bgColor rgb="FF993366"/>
      </patternFill>
    </fill>
    <fill>
      <patternFill patternType="solid">
        <fgColor rgb="FF808080"/>
        <bgColor indexed="64"/>
      </patternFill>
    </fill>
    <fill>
      <patternFill patternType="solid">
        <fgColor rgb="FFB4C6E7"/>
        <bgColor indexed="64"/>
      </patternFill>
    </fill>
    <fill>
      <patternFill patternType="solid">
        <fgColor rgb="FFFFFF00"/>
        <bgColor indexed="64"/>
      </patternFill>
    </fill>
  </fills>
  <borders count="123">
    <border>
      <left/>
      <right/>
      <top/>
      <bottom/>
      <diagonal/>
    </border>
    <border>
      <left style="thin">
        <color rgb="FF808080"/>
      </left>
      <right style="thin">
        <color rgb="FF808080"/>
      </right>
      <top style="thin">
        <color rgb="FF808080"/>
      </top>
      <bottom style="thin">
        <color rgb="FF808080"/>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rgb="FFA2A9B1"/>
      </right>
      <top style="medium">
        <color auto="1"/>
      </top>
      <bottom/>
      <diagonal/>
    </border>
    <border>
      <left style="thin">
        <color rgb="FFA2A9B1"/>
      </left>
      <right style="thin">
        <color rgb="FFA2A9B1"/>
      </right>
      <top style="medium">
        <color auto="1"/>
      </top>
      <bottom/>
      <diagonal/>
    </border>
    <border>
      <left style="thin">
        <color rgb="FFA2A9B1"/>
      </left>
      <right/>
      <top style="medium">
        <color auto="1"/>
      </top>
      <bottom/>
      <diagonal/>
    </border>
    <border>
      <left style="medium">
        <color auto="1"/>
      </left>
      <right style="thin">
        <color rgb="FFA2A9B1"/>
      </right>
      <top style="medium">
        <color auto="1"/>
      </top>
      <bottom style="medium">
        <color auto="1"/>
      </bottom>
      <diagonal/>
    </border>
    <border>
      <left style="thin">
        <color rgb="FFA2A9B1"/>
      </left>
      <right style="thin">
        <color rgb="FFA2A9B1"/>
      </right>
      <top style="medium">
        <color auto="1"/>
      </top>
      <bottom style="thin">
        <color rgb="FFA2A9B1"/>
      </bottom>
      <diagonal/>
    </border>
    <border>
      <left style="thin">
        <color rgb="FFA2A9B1"/>
      </left>
      <right/>
      <top style="medium">
        <color auto="1"/>
      </top>
      <bottom style="thin">
        <color rgb="FFA2A9B1"/>
      </bottom>
      <diagonal/>
    </border>
    <border>
      <left style="thin">
        <color rgb="FFA2A9B1"/>
      </left>
      <right style="thin">
        <color rgb="FFA2A9B1"/>
      </right>
      <top style="thin">
        <color rgb="FFA2A9B1"/>
      </top>
      <bottom style="thin">
        <color rgb="FFA2A9B1"/>
      </bottom>
      <diagonal/>
    </border>
    <border>
      <left style="thin">
        <color rgb="FFA2A9B1"/>
      </left>
      <right/>
      <top style="thin">
        <color rgb="FFA2A9B1"/>
      </top>
      <bottom style="thin">
        <color rgb="FFA2A9B1"/>
      </bottom>
      <diagonal/>
    </border>
    <border>
      <left style="thin">
        <color rgb="FFA2A9B1"/>
      </left>
      <right style="thin">
        <color rgb="FFA2A9B1"/>
      </right>
      <top style="thin">
        <color rgb="FFA2A9B1"/>
      </top>
      <bottom style="medium">
        <color auto="1"/>
      </bottom>
      <diagonal/>
    </border>
    <border>
      <left style="thin">
        <color rgb="FFA2A9B1"/>
      </left>
      <right/>
      <top style="thin">
        <color rgb="FFA2A9B1"/>
      </top>
      <bottom style="medium">
        <color auto="1"/>
      </bottom>
      <diagonal/>
    </border>
    <border>
      <left style="medium">
        <color auto="1"/>
      </left>
      <right style="thin">
        <color rgb="FFA2A9B1"/>
      </right>
      <top/>
      <bottom style="medium">
        <color auto="1"/>
      </bottom>
      <diagonal/>
    </border>
    <border>
      <left style="thin">
        <color rgb="FFA2A9B1"/>
      </left>
      <right style="thin">
        <color rgb="FFA2A9B1"/>
      </right>
      <top/>
      <bottom style="thin">
        <color rgb="FFA2A9B1"/>
      </bottom>
      <diagonal/>
    </border>
    <border>
      <left style="thin">
        <color rgb="FFA2A9B1"/>
      </left>
      <right/>
      <top/>
      <bottom style="thin">
        <color rgb="FFA2A9B1"/>
      </bottom>
      <diagonal/>
    </border>
    <border>
      <left style="thin">
        <color rgb="FF3C3C3C"/>
      </left>
      <right style="thin">
        <color rgb="FF3C3C3C"/>
      </right>
      <top style="thin">
        <color rgb="FF3C3C3C"/>
      </top>
      <bottom style="thin">
        <color rgb="FF3C3C3C"/>
      </bottom>
      <diagonal/>
    </border>
    <border>
      <left style="hair">
        <color auto="1"/>
      </left>
      <right style="hair">
        <color auto="1"/>
      </right>
      <top style="hair">
        <color auto="1"/>
      </top>
      <bottom style="hair">
        <color auto="1"/>
      </bottom>
      <diagonal/>
    </border>
    <border>
      <left style="thin">
        <color rgb="FF3C3C3C"/>
      </left>
      <right style="thin">
        <color rgb="FF3C3C3C"/>
      </right>
      <top style="thin">
        <color rgb="FF3C3C3C"/>
      </top>
      <bottom/>
      <diagonal/>
    </border>
    <border>
      <left style="thin">
        <color rgb="FF3C3C3C"/>
      </left>
      <right style="thin">
        <color rgb="FF3C3C3C"/>
      </right>
      <top/>
      <bottom style="thin">
        <color rgb="FF3C3C3C"/>
      </bottom>
      <diagonal/>
    </border>
    <border>
      <left style="double">
        <color rgb="FF3C3C3C"/>
      </left>
      <right/>
      <top style="double">
        <color rgb="FF3C3C3C"/>
      </top>
      <bottom style="hair">
        <color rgb="FF3C3C3C"/>
      </bottom>
      <diagonal/>
    </border>
    <border>
      <left/>
      <right/>
      <top style="double">
        <color rgb="FF3C3C3C"/>
      </top>
      <bottom style="hair">
        <color rgb="FF3C3C3C"/>
      </bottom>
      <diagonal/>
    </border>
    <border>
      <left/>
      <right style="double">
        <color rgb="FF3C3C3C"/>
      </right>
      <top style="double">
        <color rgb="FF3C3C3C"/>
      </top>
      <bottom style="hair">
        <color rgb="FF3C3C3C"/>
      </bottom>
      <diagonal/>
    </border>
    <border>
      <left style="double">
        <color rgb="FF3C3C3C"/>
      </left>
      <right style="thin">
        <color rgb="FF3C3C3C"/>
      </right>
      <top style="hair">
        <color rgb="FF3C3C3C"/>
      </top>
      <bottom style="hair">
        <color rgb="FF3C3C3C"/>
      </bottom>
      <diagonal/>
    </border>
    <border>
      <left style="thin">
        <color rgb="FF3C3C3C"/>
      </left>
      <right style="thin">
        <color rgb="FF3C3C3C"/>
      </right>
      <top style="hair">
        <color rgb="FF3C3C3C"/>
      </top>
      <bottom style="double">
        <color rgb="FF3C3C3C"/>
      </bottom>
      <diagonal/>
    </border>
    <border>
      <left style="thin">
        <color rgb="FF3C3C3C"/>
      </left>
      <right/>
      <top style="hair">
        <color rgb="FF3C3C3C"/>
      </top>
      <bottom style="double">
        <color rgb="FF3C3C3C"/>
      </bottom>
      <diagonal/>
    </border>
    <border>
      <left style="thin">
        <color rgb="FF3C3C3C"/>
      </left>
      <right style="double">
        <color rgb="FF3C3C3C"/>
      </right>
      <top style="hair">
        <color rgb="FF3C3C3C"/>
      </top>
      <bottom style="double">
        <color rgb="FF3C3C3C"/>
      </bottom>
      <diagonal/>
    </border>
    <border>
      <left/>
      <right/>
      <top style="hair">
        <color rgb="FF3C3C3C"/>
      </top>
      <bottom style="hair">
        <color rgb="FF3C3C3C"/>
      </bottom>
      <diagonal/>
    </border>
    <border>
      <left style="thin">
        <color rgb="FF3C3C3C"/>
      </left>
      <right style="thin">
        <color rgb="FF3C3C3C"/>
      </right>
      <top/>
      <bottom style="hair">
        <color rgb="FF3C3C3C"/>
      </bottom>
      <diagonal/>
    </border>
    <border>
      <left style="thin">
        <color rgb="FF3C3C3C"/>
      </left>
      <right/>
      <top/>
      <bottom style="hair">
        <color rgb="FF3C3C3C"/>
      </bottom>
      <diagonal/>
    </border>
    <border>
      <left style="thin">
        <color rgb="FF3C3C3C"/>
      </left>
      <right style="double">
        <color rgb="FF3C3C3C"/>
      </right>
      <top/>
      <bottom style="hair">
        <color rgb="FF3C3C3C"/>
      </bottom>
      <diagonal/>
    </border>
    <border>
      <left style="thin">
        <color rgb="FF3C3C3C"/>
      </left>
      <right style="thin">
        <color rgb="FF3C3C3C"/>
      </right>
      <top style="hair">
        <color rgb="FF3C3C3C"/>
      </top>
      <bottom style="hair">
        <color rgb="FF3C3C3C"/>
      </bottom>
      <diagonal/>
    </border>
    <border>
      <left style="thin">
        <color rgb="FF3C3C3C"/>
      </left>
      <right/>
      <top style="hair">
        <color rgb="FF3C3C3C"/>
      </top>
      <bottom style="hair">
        <color rgb="FF3C3C3C"/>
      </bottom>
      <diagonal/>
    </border>
    <border>
      <left style="thin">
        <color rgb="FF3C3C3C"/>
      </left>
      <right style="double">
        <color rgb="FF3C3C3C"/>
      </right>
      <top style="hair">
        <color rgb="FF3C3C3C"/>
      </top>
      <bottom style="hair">
        <color rgb="FF3C3C3C"/>
      </bottom>
      <diagonal/>
    </border>
    <border>
      <left/>
      <right/>
      <top style="hair">
        <color rgb="FF3C3C3C"/>
      </top>
      <bottom style="double">
        <color rgb="FF3C3C3C"/>
      </bottom>
      <diagonal/>
    </border>
    <border>
      <left style="double">
        <color rgb="FF3C3C3C"/>
      </left>
      <right style="thin">
        <color rgb="FF3C3C3C"/>
      </right>
      <top style="double">
        <color rgb="FF3C3C3C"/>
      </top>
      <bottom style="hair">
        <color rgb="FF3C3C3C"/>
      </bottom>
      <diagonal/>
    </border>
    <border>
      <left style="double">
        <color rgb="FF3C3C3C"/>
      </left>
      <right style="thin">
        <color rgb="FF3C3C3C"/>
      </right>
      <top style="hair">
        <color rgb="FF3C3C3C"/>
      </top>
      <bottom style="thin">
        <color auto="1"/>
      </bottom>
      <diagonal/>
    </border>
    <border>
      <left style="thin">
        <color rgb="FF3C3C3C"/>
      </left>
      <right style="thin">
        <color rgb="FF3C3C3C"/>
      </right>
      <top style="hair">
        <color rgb="FF3C3C3C"/>
      </top>
      <bottom style="thin">
        <color auto="1"/>
      </bottom>
      <diagonal/>
    </border>
    <border>
      <left style="thin">
        <color rgb="FF3C3C3C"/>
      </left>
      <right style="double">
        <color rgb="FF3C3C3C"/>
      </right>
      <top style="hair">
        <color rgb="FF3C3C3C"/>
      </top>
      <bottom style="thin">
        <color auto="1"/>
      </bottom>
      <diagonal/>
    </border>
    <border>
      <left style="double">
        <color rgb="FF3C3C3C"/>
      </left>
      <right style="thin">
        <color rgb="FF3C3C3C"/>
      </right>
      <top/>
      <bottom style="hair">
        <color rgb="FF3C3C3C"/>
      </bottom>
      <diagonal/>
    </border>
    <border>
      <left style="double">
        <color rgb="FF3C3C3C"/>
      </left>
      <right style="thin">
        <color rgb="FF3C3C3C"/>
      </right>
      <top style="hair">
        <color rgb="FF3C3C3C"/>
      </top>
      <bottom/>
      <diagonal/>
    </border>
    <border>
      <left style="thin">
        <color rgb="FF3C3C3C"/>
      </left>
      <right style="thin">
        <color rgb="FF3C3C3C"/>
      </right>
      <top style="hair">
        <color rgb="FF3C3C3C"/>
      </top>
      <bottom/>
      <diagonal/>
    </border>
    <border>
      <left style="thin">
        <color rgb="FF3C3C3C"/>
      </left>
      <right style="double">
        <color rgb="FF3C3C3C"/>
      </right>
      <top style="hair">
        <color rgb="FF3C3C3C"/>
      </top>
      <bottom/>
      <diagonal/>
    </border>
    <border>
      <left style="double">
        <color rgb="FF3C3C3C"/>
      </left>
      <right style="thin">
        <color rgb="FF3C3C3C"/>
      </right>
      <top style="hair">
        <color rgb="FF3C3C3C"/>
      </top>
      <bottom style="double">
        <color rgb="FF3C3C3C"/>
      </bottom>
      <diagonal/>
    </border>
    <border>
      <left style="thin">
        <color rgb="FF3C3C3C"/>
      </left>
      <right style="thin">
        <color rgb="FF3C3C3C"/>
      </right>
      <top style="double">
        <color rgb="FF3C3C3C"/>
      </top>
      <bottom style="hair">
        <color rgb="FF3C3C3C"/>
      </bottom>
      <diagonal/>
    </border>
    <border>
      <left style="thin">
        <color rgb="FF3C3C3C"/>
      </left>
      <right style="double">
        <color rgb="FF3C3C3C"/>
      </right>
      <top style="double">
        <color rgb="FF3C3C3C"/>
      </top>
      <bottom style="hair">
        <color rgb="FF3C3C3C"/>
      </bottom>
      <diagonal/>
    </border>
    <border>
      <left style="double">
        <color rgb="FF3C3C3C"/>
      </left>
      <right/>
      <top/>
      <bottom style="hair">
        <color rgb="FF3C3C3C"/>
      </bottom>
      <diagonal/>
    </border>
    <border>
      <left/>
      <right style="double">
        <color rgb="FF3C3C3C"/>
      </right>
      <top style="hair">
        <color rgb="FF3C3C3C"/>
      </top>
      <bottom style="hair">
        <color rgb="FF3C3C3C"/>
      </bottom>
      <diagonal/>
    </border>
    <border>
      <left style="double">
        <color auto="1"/>
      </left>
      <right style="thin">
        <color rgb="FF3C3C3C"/>
      </right>
      <top style="double">
        <color auto="1"/>
      </top>
      <bottom style="hair">
        <color rgb="FF3C3C3C"/>
      </bottom>
      <diagonal/>
    </border>
    <border>
      <left style="thin">
        <color rgb="FF3C3C3C"/>
      </left>
      <right style="thin">
        <color rgb="FF3C3C3C"/>
      </right>
      <top style="double">
        <color auto="1"/>
      </top>
      <bottom style="hair">
        <color rgb="FF3C3C3C"/>
      </bottom>
      <diagonal/>
    </border>
    <border>
      <left style="thin">
        <color rgb="FF3C3C3C"/>
      </left>
      <right/>
      <top style="double">
        <color auto="1"/>
      </top>
      <bottom style="hair">
        <color rgb="FF3C3C3C"/>
      </bottom>
      <diagonal/>
    </border>
    <border>
      <left style="thin">
        <color rgb="FF3C3C3C"/>
      </left>
      <right style="double">
        <color auto="1"/>
      </right>
      <top style="double">
        <color auto="1"/>
      </top>
      <bottom style="hair">
        <color rgb="FF3C3C3C"/>
      </bottom>
      <diagonal/>
    </border>
    <border>
      <left style="double">
        <color rgb="FF3C3C3C"/>
      </left>
      <right/>
      <top style="hair">
        <color rgb="FF3C3C3C"/>
      </top>
      <bottom style="hair">
        <color rgb="FF3C3C3C"/>
      </bottom>
      <diagonal/>
    </border>
    <border>
      <left style="double">
        <color auto="1"/>
      </left>
      <right style="thin">
        <color rgb="FF3C3C3C"/>
      </right>
      <top style="hair">
        <color rgb="FF3C3C3C"/>
      </top>
      <bottom style="hair">
        <color rgb="FF3C3C3C"/>
      </bottom>
      <diagonal/>
    </border>
    <border>
      <left style="thin">
        <color rgb="FF3C3C3C"/>
      </left>
      <right style="double">
        <color auto="1"/>
      </right>
      <top style="hair">
        <color rgb="FF3C3C3C"/>
      </top>
      <bottom style="hair">
        <color rgb="FF3C3C3C"/>
      </bottom>
      <diagonal/>
    </border>
    <border>
      <left style="double">
        <color auto="1"/>
      </left>
      <right style="thin">
        <color rgb="FF3C3C3C"/>
      </right>
      <top style="hair">
        <color rgb="FF3C3C3C"/>
      </top>
      <bottom style="double">
        <color auto="1"/>
      </bottom>
      <diagonal/>
    </border>
    <border>
      <left style="thin">
        <color rgb="FF3C3C3C"/>
      </left>
      <right style="thin">
        <color rgb="FF3C3C3C"/>
      </right>
      <top style="hair">
        <color rgb="FF3C3C3C"/>
      </top>
      <bottom style="double">
        <color auto="1"/>
      </bottom>
      <diagonal/>
    </border>
    <border>
      <left style="thin">
        <color rgb="FF3C3C3C"/>
      </left>
      <right/>
      <top style="hair">
        <color rgb="FF3C3C3C"/>
      </top>
      <bottom style="double">
        <color auto="1"/>
      </bottom>
      <diagonal/>
    </border>
    <border>
      <left style="thin">
        <color rgb="FF3C3C3C"/>
      </left>
      <right style="double">
        <color auto="1"/>
      </right>
      <top style="hair">
        <color rgb="FF3C3C3C"/>
      </top>
      <bottom style="double">
        <color auto="1"/>
      </bottom>
      <diagonal/>
    </border>
    <border>
      <left style="double">
        <color auto="1"/>
      </left>
      <right style="thin">
        <color rgb="FF3C3C3C"/>
      </right>
      <top/>
      <bottom style="hair">
        <color rgb="FF3C3C3C"/>
      </bottom>
      <diagonal/>
    </border>
    <border>
      <left style="double">
        <color rgb="FF3C3C3C"/>
      </left>
      <right/>
      <top style="hair">
        <color rgb="FF3C3C3C"/>
      </top>
      <bottom style="double">
        <color rgb="FF3C3C3C"/>
      </bottom>
      <diagonal/>
    </border>
    <border>
      <left style="double">
        <color rgb="FF3C3C3C"/>
      </left>
      <right style="double">
        <color rgb="FF3C3C3C"/>
      </right>
      <top style="double">
        <color rgb="FF3C3C3C"/>
      </top>
      <bottom style="hair">
        <color rgb="FF3C3C3C"/>
      </bottom>
      <diagonal/>
    </border>
    <border>
      <left/>
      <right style="thin">
        <color rgb="FF3C3C3C"/>
      </right>
      <top/>
      <bottom style="hair">
        <color rgb="FF3C3C3C"/>
      </bottom>
      <diagonal/>
    </border>
    <border>
      <left style="double">
        <color rgb="FF3C3C3C"/>
      </left>
      <right style="double">
        <color rgb="FF3C3C3C"/>
      </right>
      <top style="hair">
        <color rgb="FF3C3C3C"/>
      </top>
      <bottom style="hair">
        <color rgb="FF3C3C3C"/>
      </bottom>
      <diagonal/>
    </border>
    <border>
      <left/>
      <right style="thin">
        <color rgb="FF3C3C3C"/>
      </right>
      <top style="hair">
        <color rgb="FF3C3C3C"/>
      </top>
      <bottom style="hair">
        <color rgb="FF3C3C3C"/>
      </bottom>
      <diagonal/>
    </border>
    <border>
      <left style="double">
        <color rgb="FF3C3C3C"/>
      </left>
      <right style="double">
        <color rgb="FF3C3C3C"/>
      </right>
      <top style="hair">
        <color rgb="FF3C3C3C"/>
      </top>
      <bottom style="double">
        <color rgb="FF3C3C3C"/>
      </bottom>
      <diagonal/>
    </border>
    <border>
      <left/>
      <right style="thin">
        <color rgb="FF3C3C3C"/>
      </right>
      <top style="hair">
        <color rgb="FF3C3C3C"/>
      </top>
      <bottom style="double">
        <color rgb="FF3C3C3C"/>
      </bottom>
      <diagonal/>
    </border>
    <border>
      <left style="double">
        <color rgb="FF3C3C3C"/>
      </left>
      <right style="thin">
        <color rgb="FF3C3C3C"/>
      </right>
      <top style="double">
        <color rgb="FF3C3C3C"/>
      </top>
      <bottom style="thin">
        <color rgb="FF3C3C3C"/>
      </bottom>
      <diagonal/>
    </border>
    <border>
      <left style="thin">
        <color rgb="FF3C3C3C"/>
      </left>
      <right style="thin">
        <color rgb="FF3C3C3C"/>
      </right>
      <top style="double">
        <color rgb="FF3C3C3C"/>
      </top>
      <bottom style="thin">
        <color rgb="FF3C3C3C"/>
      </bottom>
      <diagonal/>
    </border>
    <border>
      <left style="thin">
        <color rgb="FF3C3C3C"/>
      </left>
      <right style="double">
        <color rgb="FF3C3C3C"/>
      </right>
      <top style="double">
        <color rgb="FF3C3C3C"/>
      </top>
      <bottom style="thin">
        <color rgb="FF3C3C3C"/>
      </bottom>
      <diagonal/>
    </border>
    <border>
      <left style="double">
        <color rgb="FF3C3C3C"/>
      </left>
      <right style="thin">
        <color rgb="FF3C3C3C"/>
      </right>
      <top/>
      <bottom/>
      <diagonal/>
    </border>
    <border>
      <left style="thin">
        <color rgb="FF3C3C3C"/>
      </left>
      <right style="thin">
        <color rgb="FF3C3C3C"/>
      </right>
      <top/>
      <bottom/>
      <diagonal/>
    </border>
    <border>
      <left style="thin">
        <color rgb="FF3C3C3C"/>
      </left>
      <right style="double">
        <color rgb="FF3C3C3C"/>
      </right>
      <top/>
      <bottom/>
      <diagonal/>
    </border>
    <border>
      <left style="double">
        <color rgb="FF3C3C3C"/>
      </left>
      <right style="thin">
        <color rgb="FF3C3C3C"/>
      </right>
      <top/>
      <bottom style="double">
        <color rgb="FF3C3C3C"/>
      </bottom>
      <diagonal/>
    </border>
    <border>
      <left style="thin">
        <color rgb="FF3C3C3C"/>
      </left>
      <right style="thin">
        <color rgb="FF3C3C3C"/>
      </right>
      <top/>
      <bottom style="double">
        <color rgb="FF3C3C3C"/>
      </bottom>
      <diagonal/>
    </border>
    <border>
      <left style="thin">
        <color rgb="FF3C3C3C"/>
      </left>
      <right style="double">
        <color rgb="FF3C3C3C"/>
      </right>
      <top/>
      <bottom style="double">
        <color rgb="FF3C3C3C"/>
      </bottom>
      <diagonal/>
    </border>
    <border>
      <left style="double">
        <color rgb="FF3C3C3C"/>
      </left>
      <right/>
      <top/>
      <bottom style="double">
        <color rgb="FF3C3C3C"/>
      </bottom>
      <diagonal/>
    </border>
    <border>
      <left style="thin">
        <color rgb="FF3C3C3C"/>
      </left>
      <right/>
      <top style="double">
        <color rgb="FF3C3C3C"/>
      </top>
      <bottom style="hair">
        <color rgb="FF3C3C3C"/>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double">
        <color auto="1"/>
      </top>
      <bottom style="double">
        <color auto="1"/>
      </bottom>
      <diagonal/>
    </border>
    <border>
      <left style="thin">
        <color rgb="FF3C3C3C"/>
      </left>
      <right style="thin">
        <color rgb="FF3C3C3C"/>
      </right>
      <top style="double">
        <color rgb="FF3C3C3C"/>
      </top>
      <bottom style="double">
        <color rgb="FF3C3C3C"/>
      </bottom>
      <diagonal/>
    </border>
    <border>
      <left style="thin">
        <color rgb="FF3C3C3C"/>
      </left>
      <right style="double">
        <color rgb="FF3C3C3C"/>
      </right>
      <top style="double">
        <color rgb="FF3C3C3C"/>
      </top>
      <bottom style="double">
        <color rgb="FF3C3C3C"/>
      </bottom>
      <diagonal/>
    </border>
    <border>
      <left/>
      <right style="double">
        <color rgb="FF3C3C3C"/>
      </right>
      <top/>
      <bottom/>
      <diagonal/>
    </border>
    <border>
      <left style="thin">
        <color rgb="FF3C3C3C"/>
      </left>
      <right/>
      <top/>
      <bottom style="double">
        <color rgb="FF3C3C3C"/>
      </bottom>
      <diagonal/>
    </border>
    <border>
      <left/>
      <right/>
      <top/>
      <bottom style="double">
        <color rgb="FF3C3C3C"/>
      </bottom>
      <diagonal/>
    </border>
    <border>
      <left style="thin">
        <color rgb="FF3C3C3C"/>
      </left>
      <right style="double">
        <color rgb="FF3C3C3C"/>
      </right>
      <top style="double">
        <color auto="1"/>
      </top>
      <bottom style="hair">
        <color rgb="FF3C3C3C"/>
      </bottom>
      <diagonal/>
    </border>
    <border>
      <left style="thin">
        <color indexed="64"/>
      </left>
      <right style="thin">
        <color indexed="64"/>
      </right>
      <top/>
      <bottom/>
      <diagonal/>
    </border>
    <border>
      <left style="medium">
        <color auto="1"/>
      </left>
      <right style="thin">
        <color rgb="FF3C3C3C"/>
      </right>
      <top style="medium">
        <color auto="1"/>
      </top>
      <bottom style="thin">
        <color auto="1"/>
      </bottom>
      <diagonal/>
    </border>
    <border>
      <left style="thin">
        <color rgb="FF3C3C3C"/>
      </left>
      <right style="thin">
        <color rgb="FF3C3C3C"/>
      </right>
      <top style="medium">
        <color auto="1"/>
      </top>
      <bottom style="thin">
        <color auto="1"/>
      </bottom>
      <diagonal/>
    </border>
  </borders>
  <cellStyleXfs count="22">
    <xf numFmtId="0" fontId="0" fillId="0" borderId="0"/>
    <xf numFmtId="170" fontId="38" fillId="0" borderId="0" applyBorder="0" applyProtection="0"/>
    <xf numFmtId="166" fontId="38" fillId="0" borderId="0" applyBorder="0" applyProtection="0"/>
    <xf numFmtId="164" fontId="38" fillId="0" borderId="0" applyBorder="0" applyProtection="0"/>
    <xf numFmtId="0" fontId="16" fillId="0" borderId="0" applyBorder="0" applyProtection="0"/>
    <xf numFmtId="0" fontId="1" fillId="2" borderId="0" applyBorder="0" applyProtection="0"/>
    <xf numFmtId="0" fontId="1" fillId="3" borderId="0" applyBorder="0" applyProtection="0"/>
    <xf numFmtId="0" fontId="2" fillId="4" borderId="0" applyBorder="0" applyProtection="0"/>
    <xf numFmtId="0" fontId="2" fillId="0"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8" borderId="0" applyBorder="0" applyProtection="0"/>
    <xf numFmtId="0" fontId="10" fillId="8" borderId="1" applyProtection="0"/>
    <xf numFmtId="0" fontId="4" fillId="9" borderId="0" applyBorder="0" applyProtection="0"/>
    <xf numFmtId="0" fontId="4" fillId="10" borderId="0" applyBorder="0" applyProtection="0"/>
    <xf numFmtId="0" fontId="38" fillId="0" borderId="0" applyBorder="0" applyProtection="0"/>
    <xf numFmtId="0" fontId="38" fillId="0" borderId="0" applyBorder="0" applyProtection="0"/>
    <xf numFmtId="0" fontId="3" fillId="0" borderId="0" applyBorder="0" applyProtection="0"/>
  </cellStyleXfs>
  <cellXfs count="661">
    <xf numFmtId="0" fontId="0" fillId="0" borderId="0" xfId="0"/>
    <xf numFmtId="0" fontId="17" fillId="0" borderId="14" xfId="0" applyFont="1" applyBorder="1" applyAlignment="1">
      <alignment horizontal="center"/>
    </xf>
    <xf numFmtId="0" fontId="0" fillId="0" borderId="15"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xf>
    <xf numFmtId="0" fontId="0" fillId="0" borderId="0" xfId="0" applyAlignment="1">
      <alignment horizontal="center"/>
    </xf>
    <xf numFmtId="0" fontId="11" fillId="0" borderId="0" xfId="0" applyFont="1" applyAlignment="1">
      <alignment horizontal="left"/>
    </xf>
    <xf numFmtId="0" fontId="0" fillId="0" borderId="6" xfId="0" applyBorder="1" applyAlignment="1">
      <alignment horizontal="left"/>
    </xf>
    <xf numFmtId="0" fontId="0" fillId="0" borderId="4" xfId="0" applyBorder="1" applyAlignment="1">
      <alignment horizontal="left"/>
    </xf>
    <xf numFmtId="164" fontId="0" fillId="0" borderId="3" xfId="0" applyNumberFormat="1" applyBorder="1"/>
    <xf numFmtId="0" fontId="0" fillId="0" borderId="5" xfId="0" applyBorder="1"/>
    <xf numFmtId="2" fontId="0" fillId="0" borderId="7" xfId="0" applyNumberFormat="1" applyBorder="1"/>
    <xf numFmtId="0" fontId="11" fillId="0" borderId="0" xfId="0" applyFont="1"/>
    <xf numFmtId="0" fontId="12" fillId="0" borderId="4" xfId="0" applyFont="1" applyBorder="1" applyAlignment="1">
      <alignment vertical="center"/>
    </xf>
    <xf numFmtId="0" fontId="0" fillId="0" borderId="8" xfId="0"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11" borderId="11" xfId="0" applyFill="1" applyBorder="1"/>
    <xf numFmtId="165" fontId="0" fillId="0" borderId="4" xfId="0" applyNumberFormat="1" applyBorder="1"/>
    <xf numFmtId="165" fontId="0" fillId="0" borderId="0" xfId="0" applyNumberFormat="1"/>
    <xf numFmtId="164" fontId="0" fillId="0" borderId="0" xfId="0" applyNumberFormat="1"/>
    <xf numFmtId="165" fontId="0" fillId="0" borderId="11" xfId="0" applyNumberFormat="1" applyBorder="1"/>
    <xf numFmtId="165" fontId="0" fillId="0" borderId="3" xfId="0" applyNumberFormat="1" applyBorder="1"/>
    <xf numFmtId="0" fontId="0" fillId="11" borderId="12" xfId="0" applyFill="1" applyBorder="1"/>
    <xf numFmtId="165" fontId="0" fillId="0" borderId="12" xfId="0" applyNumberFormat="1" applyBorder="1"/>
    <xf numFmtId="165" fontId="0" fillId="0" borderId="5" xfId="0" applyNumberFormat="1" applyBorder="1"/>
    <xf numFmtId="0" fontId="0" fillId="11" borderId="13" xfId="0" applyFill="1" applyBorder="1"/>
    <xf numFmtId="165" fontId="0" fillId="0" borderId="6" xfId="0" applyNumberFormat="1" applyBorder="1"/>
    <xf numFmtId="0" fontId="0" fillId="0" borderId="14" xfId="0" applyBorder="1"/>
    <xf numFmtId="165" fontId="0" fillId="0" borderId="14" xfId="0" applyNumberFormat="1" applyBorder="1"/>
    <xf numFmtId="164" fontId="0" fillId="0" borderId="14" xfId="0" applyNumberFormat="1" applyBorder="1"/>
    <xf numFmtId="165" fontId="0" fillId="0" borderId="13" xfId="0" applyNumberFormat="1" applyBorder="1"/>
    <xf numFmtId="165" fontId="13" fillId="0" borderId="0" xfId="0" applyNumberFormat="1" applyFont="1"/>
    <xf numFmtId="165" fontId="13" fillId="0" borderId="15" xfId="0" applyNumberFormat="1" applyFont="1" applyBorder="1"/>
    <xf numFmtId="166" fontId="38" fillId="0" borderId="0" xfId="2" applyBorder="1" applyProtection="1"/>
    <xf numFmtId="167" fontId="0" fillId="0" borderId="0" xfId="0" applyNumberFormat="1"/>
    <xf numFmtId="0" fontId="0" fillId="0" borderId="15" xfId="0" applyBorder="1"/>
    <xf numFmtId="0" fontId="0" fillId="0" borderId="11" xfId="0" applyBorder="1"/>
    <xf numFmtId="167" fontId="0" fillId="0" borderId="11" xfId="0" applyNumberFormat="1" applyBorder="1"/>
    <xf numFmtId="167" fontId="0" fillId="0" borderId="12" xfId="0" applyNumberFormat="1" applyBorder="1"/>
    <xf numFmtId="0" fontId="12" fillId="0" borderId="2" xfId="0" applyFont="1" applyBorder="1" applyAlignment="1">
      <alignment vertical="center"/>
    </xf>
    <xf numFmtId="0" fontId="0" fillId="0" borderId="16" xfId="0" applyBorder="1" applyAlignment="1">
      <alignment horizontal="center" vertical="center" wrapText="1"/>
    </xf>
    <xf numFmtId="0" fontId="0" fillId="0" borderId="16" xfId="0" applyBorder="1" applyAlignment="1">
      <alignment vertical="center"/>
    </xf>
    <xf numFmtId="0" fontId="0" fillId="0" borderId="16" xfId="0" applyBorder="1" applyAlignment="1">
      <alignment horizontal="center" vertical="center"/>
    </xf>
    <xf numFmtId="0" fontId="0" fillId="11" borderId="2" xfId="0" applyFill="1" applyBorder="1"/>
    <xf numFmtId="165" fontId="0" fillId="0" borderId="2" xfId="0" applyNumberFormat="1" applyBorder="1"/>
    <xf numFmtId="0" fontId="0" fillId="0" borderId="16" xfId="0" applyBorder="1"/>
    <xf numFmtId="165" fontId="0" fillId="0" borderId="16" xfId="0" applyNumberFormat="1" applyBorder="1"/>
    <xf numFmtId="164" fontId="0" fillId="0" borderId="16" xfId="0" applyNumberFormat="1" applyBorder="1"/>
    <xf numFmtId="0" fontId="0" fillId="11" borderId="4" xfId="0" applyFill="1" applyBorder="1"/>
    <xf numFmtId="0" fontId="0" fillId="11" borderId="6" xfId="0" applyFill="1" applyBorder="1"/>
    <xf numFmtId="165" fontId="13" fillId="0" borderId="11" xfId="0" applyNumberFormat="1" applyFont="1" applyBorder="1"/>
    <xf numFmtId="0" fontId="0" fillId="11" borderId="15" xfId="0" applyFill="1" applyBorder="1"/>
    <xf numFmtId="165" fontId="13" fillId="0" borderId="10" xfId="0" applyNumberFormat="1" applyFont="1" applyBorder="1"/>
    <xf numFmtId="0" fontId="0" fillId="0" borderId="12" xfId="0" applyBorder="1"/>
    <xf numFmtId="0" fontId="14" fillId="0" borderId="4" xfId="0" applyFont="1" applyBorder="1"/>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xf>
    <xf numFmtId="0" fontId="13" fillId="0" borderId="3" xfId="0" applyFont="1" applyBorder="1" applyAlignment="1">
      <alignment horizontal="center" vertical="center" wrapText="1"/>
    </xf>
    <xf numFmtId="165" fontId="0" fillId="0" borderId="16" xfId="0" applyNumberFormat="1" applyBorder="1" applyAlignment="1">
      <alignment horizontal="center"/>
    </xf>
    <xf numFmtId="165" fontId="0" fillId="0" borderId="3" xfId="0" applyNumberFormat="1" applyBorder="1" applyAlignment="1">
      <alignment horizontal="center"/>
    </xf>
    <xf numFmtId="0" fontId="16" fillId="0" borderId="0" xfId="4" applyBorder="1" applyProtection="1"/>
    <xf numFmtId="165" fontId="0" fillId="0" borderId="0" xfId="0" applyNumberFormat="1" applyAlignment="1">
      <alignment horizontal="center"/>
    </xf>
    <xf numFmtId="165" fontId="0" fillId="0" borderId="5" xfId="0" applyNumberFormat="1" applyBorder="1" applyAlignment="1">
      <alignment horizontal="center"/>
    </xf>
    <xf numFmtId="165" fontId="0" fillId="0" borderId="14" xfId="0" applyNumberFormat="1" applyBorder="1" applyAlignment="1">
      <alignment horizontal="center"/>
    </xf>
    <xf numFmtId="165" fontId="0" fillId="0" borderId="7" xfId="0" applyNumberFormat="1" applyBorder="1" applyAlignment="1">
      <alignment horizontal="center"/>
    </xf>
    <xf numFmtId="0" fontId="17" fillId="0" borderId="0" xfId="0" applyFont="1"/>
    <xf numFmtId="0" fontId="18" fillId="2" borderId="2" xfId="0" applyFont="1" applyFill="1" applyBorder="1"/>
    <xf numFmtId="0" fontId="18" fillId="2" borderId="11" xfId="0" applyFont="1" applyFill="1" applyBorder="1"/>
    <xf numFmtId="0" fontId="18" fillId="2" borderId="3" xfId="0" applyFont="1" applyFill="1" applyBorder="1"/>
    <xf numFmtId="0" fontId="17" fillId="0" borderId="4" xfId="0" applyFont="1" applyBorder="1"/>
    <xf numFmtId="3" fontId="17" fillId="0" borderId="12" xfId="0" applyNumberFormat="1" applyFont="1" applyBorder="1"/>
    <xf numFmtId="3" fontId="17" fillId="0" borderId="5" xfId="0" applyNumberFormat="1" applyFont="1" applyBorder="1"/>
    <xf numFmtId="0" fontId="18" fillId="2" borderId="6" xfId="0" applyFont="1" applyFill="1" applyBorder="1"/>
    <xf numFmtId="3" fontId="17" fillId="0" borderId="13" xfId="0" applyNumberFormat="1" applyFont="1" applyBorder="1"/>
    <xf numFmtId="3" fontId="17" fillId="0" borderId="7" xfId="0" applyNumberFormat="1" applyFont="1" applyBorder="1"/>
    <xf numFmtId="0" fontId="17" fillId="0" borderId="2" xfId="0" applyFont="1" applyBorder="1"/>
    <xf numFmtId="0" fontId="17" fillId="0" borderId="11" xfId="0" applyFont="1" applyBorder="1"/>
    <xf numFmtId="0" fontId="17" fillId="0" borderId="3" xfId="0" applyFont="1" applyBorder="1"/>
    <xf numFmtId="0" fontId="17" fillId="0" borderId="6" xfId="0" applyFont="1" applyBorder="1"/>
    <xf numFmtId="0" fontId="17" fillId="0" borderId="13" xfId="0" applyFont="1" applyBorder="1"/>
    <xf numFmtId="0" fontId="17" fillId="0" borderId="7" xfId="0" applyFont="1" applyBorder="1"/>
    <xf numFmtId="0" fontId="17" fillId="0" borderId="12" xfId="0" applyFont="1" applyBorder="1"/>
    <xf numFmtId="0" fontId="17" fillId="0" borderId="5" xfId="0" applyFont="1" applyBorder="1"/>
    <xf numFmtId="0" fontId="19" fillId="0" borderId="0" xfId="0" applyFont="1" applyAlignment="1">
      <alignment horizontal="center"/>
    </xf>
    <xf numFmtId="0" fontId="17" fillId="0" borderId="8" xfId="0" applyFont="1" applyBorder="1"/>
    <xf numFmtId="4" fontId="17" fillId="0" borderId="15" xfId="0" applyNumberFormat="1" applyFont="1" applyBorder="1"/>
    <xf numFmtId="4" fontId="17" fillId="0" borderId="9" xfId="0" applyNumberFormat="1" applyFont="1" applyBorder="1"/>
    <xf numFmtId="4" fontId="19" fillId="0" borderId="15" xfId="0" applyNumberFormat="1" applyFont="1" applyBorder="1" applyAlignment="1">
      <alignment horizontal="center"/>
    </xf>
    <xf numFmtId="0" fontId="0" fillId="0" borderId="2" xfId="0" applyBorder="1" applyAlignment="1">
      <alignment horizontal="center" vertical="center"/>
    </xf>
    <xf numFmtId="0" fontId="17" fillId="0" borderId="15" xfId="0" applyFont="1" applyBorder="1" applyAlignment="1">
      <alignment horizontal="center" wrapText="1"/>
    </xf>
    <xf numFmtId="0" fontId="17" fillId="0" borderId="9" xfId="0" applyFont="1" applyBorder="1"/>
    <xf numFmtId="0" fontId="0" fillId="0" borderId="10" xfId="0" applyBorder="1"/>
    <xf numFmtId="0" fontId="17" fillId="11" borderId="2" xfId="0" applyFont="1" applyFill="1" applyBorder="1"/>
    <xf numFmtId="2" fontId="0" fillId="0" borderId="12" xfId="0" applyNumberFormat="1" applyBorder="1"/>
    <xf numFmtId="0" fontId="17" fillId="11" borderId="4" xfId="0" applyFont="1" applyFill="1" applyBorder="1"/>
    <xf numFmtId="0" fontId="17" fillId="11" borderId="6" xfId="0" applyFont="1" applyFill="1" applyBorder="1"/>
    <xf numFmtId="0" fontId="17" fillId="0" borderId="14" xfId="0" applyFont="1" applyBorder="1"/>
    <xf numFmtId="2" fontId="0" fillId="0" borderId="13" xfId="0" applyNumberFormat="1" applyBorder="1"/>
    <xf numFmtId="2" fontId="0" fillId="0" borderId="0" xfId="0" applyNumberFormat="1"/>
    <xf numFmtId="168" fontId="0" fillId="0" borderId="0" xfId="0" applyNumberFormat="1"/>
    <xf numFmtId="0" fontId="20" fillId="0" borderId="0" xfId="0" applyFont="1"/>
    <xf numFmtId="169" fontId="0" fillId="0" borderId="0" xfId="0" applyNumberFormat="1"/>
    <xf numFmtId="0" fontId="19" fillId="13" borderId="2" xfId="0" applyFont="1" applyFill="1" applyBorder="1" applyAlignment="1">
      <alignment horizontal="center"/>
    </xf>
    <xf numFmtId="0" fontId="19" fillId="13" borderId="16" xfId="0" applyFont="1" applyFill="1" applyBorder="1" applyAlignment="1">
      <alignment horizontal="center" vertical="center"/>
    </xf>
    <xf numFmtId="0" fontId="19" fillId="13" borderId="3" xfId="0" applyFont="1" applyFill="1" applyBorder="1" applyAlignment="1">
      <alignment horizontal="center" vertical="center"/>
    </xf>
    <xf numFmtId="0" fontId="0" fillId="11" borderId="8" xfId="0" applyFill="1" applyBorder="1"/>
    <xf numFmtId="171" fontId="38" fillId="0" borderId="13" xfId="1" applyNumberFormat="1" applyBorder="1" applyProtection="1"/>
    <xf numFmtId="171" fontId="38" fillId="0" borderId="7" xfId="1" applyNumberFormat="1" applyBorder="1" applyProtection="1"/>
    <xf numFmtId="0" fontId="19" fillId="13" borderId="4" xfId="0" applyFont="1" applyFill="1" applyBorder="1" applyAlignment="1">
      <alignment horizontal="right"/>
    </xf>
    <xf numFmtId="0" fontId="17" fillId="0" borderId="0" xfId="0" applyFont="1" applyAlignment="1">
      <alignment horizontal="center"/>
    </xf>
    <xf numFmtId="0" fontId="17" fillId="0" borderId="5" xfId="0" applyFont="1" applyBorder="1" applyAlignment="1">
      <alignment horizontal="center"/>
    </xf>
    <xf numFmtId="0" fontId="19" fillId="13" borderId="6" xfId="0" applyFont="1" applyFill="1" applyBorder="1" applyAlignment="1">
      <alignment horizontal="right"/>
    </xf>
    <xf numFmtId="0" fontId="17" fillId="0" borderId="7" xfId="0" applyFont="1" applyBorder="1" applyAlignment="1">
      <alignment horizontal="center"/>
    </xf>
    <xf numFmtId="2" fontId="17" fillId="0" borderId="0" xfId="0" applyNumberFormat="1" applyFont="1" applyAlignment="1">
      <alignment horizontal="center"/>
    </xf>
    <xf numFmtId="2" fontId="17" fillId="0" borderId="5" xfId="0" applyNumberFormat="1" applyFont="1" applyBorder="1" applyAlignment="1">
      <alignment horizontal="center"/>
    </xf>
    <xf numFmtId="2" fontId="17" fillId="0" borderId="14" xfId="0" applyNumberFormat="1" applyFont="1" applyBorder="1" applyAlignment="1">
      <alignment horizontal="center"/>
    </xf>
    <xf numFmtId="4" fontId="17" fillId="0" borderId="7" xfId="0" applyNumberFormat="1" applyFont="1" applyBorder="1" applyAlignment="1">
      <alignment horizontal="center"/>
    </xf>
    <xf numFmtId="0" fontId="17" fillId="11" borderId="11" xfId="0" applyFont="1" applyFill="1" applyBorder="1"/>
    <xf numFmtId="0" fontId="17" fillId="11" borderId="12" xfId="0" applyFont="1" applyFill="1" applyBorder="1"/>
    <xf numFmtId="0" fontId="17" fillId="11" borderId="12" xfId="0" applyFont="1" applyFill="1" applyBorder="1" applyAlignment="1">
      <alignment horizontal="left" vertical="center" wrapText="1"/>
    </xf>
    <xf numFmtId="166" fontId="13" fillId="0" borderId="0" xfId="2" applyFont="1" applyBorder="1" applyProtection="1"/>
    <xf numFmtId="0" fontId="17" fillId="11" borderId="13" xfId="0" applyFont="1" applyFill="1" applyBorder="1"/>
    <xf numFmtId="0" fontId="21" fillId="0" borderId="0" xfId="0" applyFont="1"/>
    <xf numFmtId="0" fontId="14" fillId="0" borderId="0" xfId="0" applyFont="1"/>
    <xf numFmtId="164" fontId="0" fillId="0" borderId="11" xfId="0" applyNumberFormat="1" applyBorder="1"/>
    <xf numFmtId="0" fontId="0" fillId="0" borderId="3" xfId="0" applyBorder="1"/>
    <xf numFmtId="0" fontId="17" fillId="11" borderId="12" xfId="0" applyFont="1" applyFill="1" applyBorder="1" applyAlignment="1">
      <alignment horizontal="left" wrapText="1"/>
    </xf>
    <xf numFmtId="166" fontId="38" fillId="0" borderId="12" xfId="2" applyBorder="1" applyProtection="1"/>
    <xf numFmtId="166" fontId="38" fillId="0" borderId="13" xfId="2" applyBorder="1" applyProtection="1"/>
    <xf numFmtId="164" fontId="0" fillId="0" borderId="7" xfId="0" applyNumberFormat="1" applyBorder="1"/>
    <xf numFmtId="0" fontId="21" fillId="11" borderId="12" xfId="0" applyFont="1" applyFill="1" applyBorder="1"/>
    <xf numFmtId="0" fontId="17" fillId="11" borderId="13" xfId="0" applyFont="1" applyFill="1" applyBorder="1" applyAlignment="1">
      <alignment horizontal="left" wrapText="1"/>
    </xf>
    <xf numFmtId="2" fontId="0" fillId="0" borderId="10" xfId="0" applyNumberFormat="1" applyBorder="1" applyAlignment="1">
      <alignment horizontal="center" vertical="center" wrapText="1"/>
    </xf>
    <xf numFmtId="0" fontId="0" fillId="11" borderId="12" xfId="0" applyFill="1" applyBorder="1" applyAlignment="1">
      <alignment horizontal="left"/>
    </xf>
    <xf numFmtId="2" fontId="0" fillId="0" borderId="5" xfId="0" applyNumberFormat="1" applyBorder="1" applyAlignment="1">
      <alignment horizontal="right" vertical="center"/>
    </xf>
    <xf numFmtId="0" fontId="0" fillId="0" borderId="13" xfId="0" applyBorder="1"/>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xf numFmtId="2" fontId="0" fillId="0" borderId="16" xfId="0" applyNumberFormat="1" applyBorder="1" applyAlignment="1">
      <alignment horizontal="center" vertical="center"/>
    </xf>
    <xf numFmtId="0" fontId="0" fillId="0" borderId="4" xfId="0" applyBorder="1"/>
    <xf numFmtId="2" fontId="0" fillId="0" borderId="0" xfId="0" applyNumberFormat="1" applyAlignment="1">
      <alignment horizontal="center" vertical="center"/>
    </xf>
    <xf numFmtId="170" fontId="38" fillId="0" borderId="0" xfId="1" applyBorder="1" applyProtection="1"/>
    <xf numFmtId="0" fontId="0" fillId="11" borderId="13" xfId="0" applyFill="1" applyBorder="1" applyAlignment="1">
      <alignment horizontal="left"/>
    </xf>
    <xf numFmtId="0" fontId="0" fillId="0" borderId="7" xfId="0" applyBorder="1" applyAlignment="1">
      <alignment horizontal="right" vertical="center"/>
    </xf>
    <xf numFmtId="0" fontId="0" fillId="0" borderId="0" xfId="0" applyAlignment="1">
      <alignment horizontal="left"/>
    </xf>
    <xf numFmtId="4" fontId="13" fillId="0" borderId="0" xfId="0" applyNumberFormat="1" applyFont="1" applyAlignment="1">
      <alignment horizontal="right" vertical="center"/>
    </xf>
    <xf numFmtId="0" fontId="0" fillId="0" borderId="6" xfId="0" applyBorder="1"/>
    <xf numFmtId="166" fontId="38" fillId="0" borderId="14" xfId="2" applyBorder="1" applyProtection="1"/>
    <xf numFmtId="0" fontId="0" fillId="0" borderId="7" xfId="0" applyBorder="1"/>
    <xf numFmtId="0" fontId="0" fillId="14" borderId="2" xfId="0" applyFill="1" applyBorder="1"/>
    <xf numFmtId="2" fontId="0" fillId="14" borderId="16" xfId="0" applyNumberFormat="1" applyFill="1" applyBorder="1"/>
    <xf numFmtId="166" fontId="38" fillId="14" borderId="16" xfId="2" applyFill="1" applyBorder="1" applyProtection="1"/>
    <xf numFmtId="0" fontId="0" fillId="14" borderId="3" xfId="0" applyFill="1" applyBorder="1"/>
    <xf numFmtId="0" fontId="0" fillId="14" borderId="6" xfId="0" applyFill="1" applyBorder="1"/>
    <xf numFmtId="2" fontId="0" fillId="14" borderId="14" xfId="0" applyNumberFormat="1" applyFill="1" applyBorder="1"/>
    <xf numFmtId="166" fontId="38" fillId="14" borderId="14" xfId="2" applyFill="1" applyBorder="1" applyProtection="1"/>
    <xf numFmtId="0" fontId="0" fillId="14" borderId="7" xfId="0" applyFill="1" applyBorder="1"/>
    <xf numFmtId="166" fontId="38" fillId="0" borderId="16" xfId="2" applyBorder="1" applyProtection="1"/>
    <xf numFmtId="166" fontId="0" fillId="0" borderId="3" xfId="2" applyFont="1" applyBorder="1" applyProtection="1"/>
    <xf numFmtId="166" fontId="0" fillId="0" borderId="5" xfId="2" applyFont="1" applyBorder="1" applyProtection="1"/>
    <xf numFmtId="166" fontId="38" fillId="0" borderId="5" xfId="2" applyBorder="1" applyAlignment="1" applyProtection="1">
      <alignment horizontal="center" vertical="center"/>
    </xf>
    <xf numFmtId="166" fontId="38" fillId="0" borderId="7" xfId="2" applyBorder="1" applyAlignment="1" applyProtection="1">
      <alignment horizontal="center" vertical="center"/>
    </xf>
    <xf numFmtId="166" fontId="38" fillId="0" borderId="0" xfId="2" applyBorder="1" applyAlignment="1" applyProtection="1">
      <alignment horizontal="center" vertical="center"/>
    </xf>
    <xf numFmtId="166" fontId="38" fillId="0" borderId="7" xfId="2" applyBorder="1" applyProtection="1"/>
    <xf numFmtId="164" fontId="22" fillId="0" borderId="0" xfId="0" applyNumberFormat="1" applyFont="1"/>
    <xf numFmtId="0" fontId="23" fillId="0" borderId="0" xfId="0" applyFont="1" applyAlignment="1">
      <alignment vertical="center" wrapText="1"/>
    </xf>
    <xf numFmtId="166" fontId="38" fillId="0" borderId="11" xfId="2" applyBorder="1" applyProtection="1"/>
    <xf numFmtId="0" fontId="24" fillId="0" borderId="0" xfId="0" applyFont="1"/>
    <xf numFmtId="172" fontId="38" fillId="0" borderId="0" xfId="3" applyNumberFormat="1" applyBorder="1" applyProtection="1"/>
    <xf numFmtId="0" fontId="25" fillId="0" borderId="0" xfId="0" applyFont="1"/>
    <xf numFmtId="0" fontId="24" fillId="0" borderId="0" xfId="0" applyFont="1" applyAlignment="1">
      <alignment wrapText="1"/>
    </xf>
    <xf numFmtId="0" fontId="22" fillId="0" borderId="0" xfId="0" applyFont="1"/>
    <xf numFmtId="0" fontId="22" fillId="0" borderId="0" xfId="0" applyFont="1" applyAlignment="1">
      <alignment wrapText="1"/>
    </xf>
    <xf numFmtId="166" fontId="38" fillId="0" borderId="10" xfId="2" applyBorder="1" applyProtection="1"/>
    <xf numFmtId="0" fontId="22" fillId="0" borderId="0" xfId="0" applyFont="1" applyAlignment="1">
      <alignment vertical="center"/>
    </xf>
    <xf numFmtId="173" fontId="22" fillId="0" borderId="0" xfId="0" applyNumberFormat="1" applyFont="1"/>
    <xf numFmtId="0" fontId="0" fillId="0" borderId="10" xfId="0" applyBorder="1" applyAlignment="1">
      <alignment horizontal="center" vertical="center"/>
    </xf>
    <xf numFmtId="166" fontId="38" fillId="0" borderId="4" xfId="2" applyBorder="1" applyProtection="1"/>
    <xf numFmtId="166" fontId="38" fillId="0" borderId="6" xfId="2" applyBorder="1" applyProtection="1"/>
    <xf numFmtId="0" fontId="26" fillId="11" borderId="11" xfId="0" applyFont="1" applyFill="1" applyBorder="1"/>
    <xf numFmtId="172" fontId="26" fillId="0" borderId="11" xfId="0" applyNumberFormat="1" applyFont="1" applyBorder="1" applyAlignment="1">
      <alignment horizontal="right"/>
    </xf>
    <xf numFmtId="0" fontId="26" fillId="11" borderId="12" xfId="0" applyFont="1" applyFill="1" applyBorder="1"/>
    <xf numFmtId="172" fontId="26" fillId="0" borderId="12" xfId="0" applyNumberFormat="1" applyFont="1" applyBorder="1" applyAlignment="1">
      <alignment horizontal="right"/>
    </xf>
    <xf numFmtId="0" fontId="26" fillId="11" borderId="13" xfId="0" applyFont="1" applyFill="1" applyBorder="1"/>
    <xf numFmtId="172" fontId="26" fillId="0" borderId="13" xfId="0" applyNumberFormat="1" applyFont="1" applyBorder="1" applyAlignment="1">
      <alignment horizontal="right"/>
    </xf>
    <xf numFmtId="165" fontId="0" fillId="0" borderId="7" xfId="0" applyNumberFormat="1" applyBorder="1"/>
    <xf numFmtId="166" fontId="13" fillId="0" borderId="8" xfId="0" applyNumberFormat="1" applyFont="1" applyBorder="1"/>
    <xf numFmtId="166" fontId="13" fillId="0" borderId="10" xfId="0" applyNumberFormat="1" applyFont="1" applyBorder="1"/>
    <xf numFmtId="166" fontId="0" fillId="0" borderId="11" xfId="0" applyNumberFormat="1" applyBorder="1"/>
    <xf numFmtId="0" fontId="0" fillId="11" borderId="11" xfId="0" applyFill="1" applyBorder="1" applyAlignment="1">
      <alignment horizontal="left" wrapText="1"/>
    </xf>
    <xf numFmtId="166" fontId="38" fillId="0" borderId="2" xfId="2" applyBorder="1" applyProtection="1"/>
    <xf numFmtId="0" fontId="0" fillId="11" borderId="12" xfId="0" applyFill="1" applyBorder="1" applyAlignment="1">
      <alignment horizontal="left" wrapText="1"/>
    </xf>
    <xf numFmtId="166" fontId="38" fillId="0" borderId="4" xfId="2" applyBorder="1" applyAlignment="1" applyProtection="1">
      <alignment vertical="center"/>
    </xf>
    <xf numFmtId="0" fontId="0" fillId="11" borderId="13" xfId="0" applyFill="1" applyBorder="1" applyAlignment="1">
      <alignment wrapText="1"/>
    </xf>
    <xf numFmtId="166" fontId="38" fillId="0" borderId="6" xfId="2" applyBorder="1" applyAlignment="1" applyProtection="1">
      <alignment vertical="center"/>
    </xf>
    <xf numFmtId="166" fontId="0" fillId="0" borderId="0" xfId="0" applyNumberFormat="1"/>
    <xf numFmtId="166" fontId="38" fillId="0" borderId="9" xfId="2" applyBorder="1" applyProtection="1"/>
    <xf numFmtId="0" fontId="27" fillId="0" borderId="0" xfId="0" applyFont="1" applyAlignment="1">
      <alignment horizontal="left" vertical="center" wrapText="1"/>
    </xf>
    <xf numFmtId="174" fontId="0" fillId="0" borderId="0" xfId="0" applyNumberFormat="1"/>
    <xf numFmtId="0" fontId="0" fillId="0" borderId="11" xfId="0" applyBorder="1" applyAlignment="1">
      <alignment horizontal="right"/>
    </xf>
    <xf numFmtId="0" fontId="0" fillId="0" borderId="16" xfId="0" applyBorder="1" applyAlignment="1">
      <alignment horizontal="center"/>
    </xf>
    <xf numFmtId="0" fontId="0" fillId="0" borderId="3" xfId="0" applyBorder="1" applyAlignment="1">
      <alignment horizontal="center"/>
    </xf>
    <xf numFmtId="0" fontId="0" fillId="0" borderId="12" xfId="0" applyBorder="1" applyAlignment="1">
      <alignment horizontal="right"/>
    </xf>
    <xf numFmtId="0" fontId="0" fillId="0" borderId="13" xfId="0" applyBorder="1" applyAlignment="1">
      <alignment horizontal="right"/>
    </xf>
    <xf numFmtId="0" fontId="19" fillId="13" borderId="9" xfId="0" applyFont="1" applyFill="1" applyBorder="1" applyAlignment="1">
      <alignment horizontal="center" vertical="center"/>
    </xf>
    <xf numFmtId="0" fontId="19" fillId="13" borderId="9" xfId="0" applyFont="1" applyFill="1" applyBorder="1" applyAlignment="1">
      <alignment horizontal="center" vertical="center" wrapText="1"/>
    </xf>
    <xf numFmtId="0" fontId="19" fillId="13" borderId="10" xfId="0" applyFont="1" applyFill="1" applyBorder="1" applyAlignment="1">
      <alignment horizontal="center" vertical="center"/>
    </xf>
    <xf numFmtId="0" fontId="19" fillId="13" borderId="12" xfId="0" applyFont="1" applyFill="1" applyBorder="1" applyAlignment="1">
      <alignment horizontal="right"/>
    </xf>
    <xf numFmtId="0" fontId="19" fillId="13" borderId="13" xfId="0" applyFont="1" applyFill="1" applyBorder="1" applyAlignment="1">
      <alignment horizontal="right"/>
    </xf>
    <xf numFmtId="0" fontId="24" fillId="0" borderId="17" xfId="0" applyFont="1" applyBorder="1"/>
    <xf numFmtId="164" fontId="22" fillId="0" borderId="18" xfId="0" applyNumberFormat="1" applyFont="1" applyBorder="1"/>
    <xf numFmtId="0" fontId="22" fillId="0" borderId="19" xfId="0" applyFont="1" applyBorder="1"/>
    <xf numFmtId="0" fontId="22" fillId="0" borderId="20" xfId="0" applyFont="1" applyBorder="1"/>
    <xf numFmtId="0" fontId="22" fillId="0" borderId="21" xfId="0" applyFont="1" applyBorder="1"/>
    <xf numFmtId="0" fontId="24" fillId="0" borderId="22" xfId="0" applyFont="1" applyBorder="1"/>
    <xf numFmtId="0" fontId="22" fillId="0" borderId="23" xfId="0" applyFont="1" applyBorder="1"/>
    <xf numFmtId="0" fontId="22" fillId="0" borderId="24" xfId="0" applyFont="1" applyBorder="1"/>
    <xf numFmtId="0" fontId="22" fillId="0" borderId="25" xfId="0" applyFont="1" applyBorder="1"/>
    <xf numFmtId="0" fontId="22" fillId="0" borderId="26" xfId="0" applyFont="1" applyBorder="1"/>
    <xf numFmtId="0" fontId="22" fillId="0" borderId="27" xfId="0" applyFont="1" applyBorder="1"/>
    <xf numFmtId="0" fontId="22" fillId="15" borderId="0" xfId="0" applyFont="1" applyFill="1"/>
    <xf numFmtId="0" fontId="29" fillId="15" borderId="0" xfId="0" applyFont="1" applyFill="1"/>
    <xf numFmtId="176" fontId="22" fillId="15" borderId="24" xfId="0" applyNumberFormat="1" applyFont="1" applyFill="1" applyBorder="1"/>
    <xf numFmtId="0" fontId="22" fillId="15" borderId="24" xfId="0" applyFont="1" applyFill="1" applyBorder="1"/>
    <xf numFmtId="176" fontId="22" fillId="14" borderId="24" xfId="0" applyNumberFormat="1" applyFont="1" applyFill="1" applyBorder="1"/>
    <xf numFmtId="176" fontId="22" fillId="15" borderId="25" xfId="0" applyNumberFormat="1" applyFont="1" applyFill="1" applyBorder="1" applyAlignment="1">
      <alignment horizontal="center"/>
    </xf>
    <xf numFmtId="176" fontId="22" fillId="15" borderId="24" xfId="0" applyNumberFormat="1" applyFont="1" applyFill="1" applyBorder="1" applyAlignment="1">
      <alignment horizontal="center"/>
    </xf>
    <xf numFmtId="1" fontId="22" fillId="15" borderId="24" xfId="0" applyNumberFormat="1" applyFont="1" applyFill="1" applyBorder="1" applyAlignment="1">
      <alignment horizontal="center"/>
    </xf>
    <xf numFmtId="0" fontId="0" fillId="0" borderId="16" xfId="0" applyBorder="1" applyAlignment="1">
      <alignment horizontal="left"/>
    </xf>
    <xf numFmtId="0" fontId="30" fillId="12" borderId="28" xfId="0" applyFont="1" applyFill="1" applyBorder="1" applyAlignment="1">
      <alignment horizontal="center" vertical="center" wrapText="1"/>
    </xf>
    <xf numFmtId="0" fontId="30" fillId="12" borderId="29" xfId="0" applyFont="1" applyFill="1" applyBorder="1" applyAlignment="1">
      <alignment horizontal="center" vertical="center" wrapText="1"/>
    </xf>
    <xf numFmtId="0" fontId="30" fillId="12" borderId="30"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16" xfId="0" applyFont="1" applyBorder="1" applyAlignment="1">
      <alignment horizontal="center" vertical="center"/>
    </xf>
    <xf numFmtId="0" fontId="15" fillId="12" borderId="32" xfId="0" applyFont="1" applyFill="1" applyBorder="1" applyAlignment="1">
      <alignment horizontal="left" wrapText="1"/>
    </xf>
    <xf numFmtId="0" fontId="15" fillId="12" borderId="33" xfId="0" applyFont="1" applyFill="1" applyBorder="1" applyAlignment="1">
      <alignment horizontal="center" wrapText="1"/>
    </xf>
    <xf numFmtId="165" fontId="0" fillId="0" borderId="2" xfId="0" applyNumberFormat="1" applyBorder="1" applyAlignment="1">
      <alignment horizontal="center"/>
    </xf>
    <xf numFmtId="0" fontId="15" fillId="12" borderId="34" xfId="0" applyFont="1" applyFill="1" applyBorder="1" applyAlignment="1">
      <alignment horizontal="left" wrapText="1"/>
    </xf>
    <xf numFmtId="0" fontId="15" fillId="12" borderId="35" xfId="0" applyFont="1" applyFill="1" applyBorder="1" applyAlignment="1">
      <alignment horizontal="center" wrapText="1"/>
    </xf>
    <xf numFmtId="165" fontId="0" fillId="0" borderId="4" xfId="0" applyNumberFormat="1" applyBorder="1" applyAlignment="1">
      <alignment horizontal="center"/>
    </xf>
    <xf numFmtId="0" fontId="15" fillId="16" borderId="34" xfId="0" applyFont="1" applyFill="1" applyBorder="1" applyAlignment="1">
      <alignment horizontal="left" wrapText="1"/>
    </xf>
    <xf numFmtId="0" fontId="15" fillId="16" borderId="35" xfId="0" applyFont="1" applyFill="1" applyBorder="1" applyAlignment="1">
      <alignment horizontal="center" wrapText="1"/>
    </xf>
    <xf numFmtId="165" fontId="0" fillId="16" borderId="4" xfId="0" applyNumberFormat="1" applyFill="1" applyBorder="1" applyAlignment="1">
      <alignment horizontal="center"/>
    </xf>
    <xf numFmtId="165" fontId="0" fillId="16" borderId="0" xfId="0" applyNumberFormat="1" applyFill="1" applyAlignment="1">
      <alignment horizontal="center"/>
    </xf>
    <xf numFmtId="165" fontId="0" fillId="16" borderId="5" xfId="0" applyNumberFormat="1" applyFill="1" applyBorder="1" applyAlignment="1">
      <alignment horizontal="center"/>
    </xf>
    <xf numFmtId="0" fontId="15" fillId="12" borderId="36" xfId="0" applyFont="1" applyFill="1" applyBorder="1" applyAlignment="1">
      <alignment horizontal="left" wrapText="1"/>
    </xf>
    <xf numFmtId="0" fontId="15" fillId="12" borderId="37" xfId="0" applyFont="1" applyFill="1" applyBorder="1" applyAlignment="1">
      <alignment horizontal="center" wrapText="1"/>
    </xf>
    <xf numFmtId="165" fontId="0" fillId="0" borderId="6" xfId="0" applyNumberFormat="1" applyBorder="1" applyAlignment="1">
      <alignment horizontal="center"/>
    </xf>
    <xf numFmtId="0" fontId="15" fillId="12" borderId="39" xfId="0" applyFont="1" applyFill="1" applyBorder="1" applyAlignment="1">
      <alignment horizontal="left" wrapText="1"/>
    </xf>
    <xf numFmtId="0" fontId="15" fillId="12" borderId="40" xfId="0" applyFont="1" applyFill="1" applyBorder="1" applyAlignment="1">
      <alignment horizontal="center" wrapText="1"/>
    </xf>
    <xf numFmtId="0" fontId="15" fillId="16" borderId="36" xfId="0" applyFont="1" applyFill="1" applyBorder="1" applyAlignment="1">
      <alignment horizontal="left" wrapText="1"/>
    </xf>
    <xf numFmtId="0" fontId="15" fillId="16" borderId="37" xfId="0" applyFont="1" applyFill="1" applyBorder="1" applyAlignment="1">
      <alignment horizontal="center" wrapText="1"/>
    </xf>
    <xf numFmtId="165" fontId="0" fillId="16" borderId="6" xfId="0" applyNumberFormat="1" applyFill="1" applyBorder="1" applyAlignment="1">
      <alignment horizontal="center"/>
    </xf>
    <xf numFmtId="165" fontId="0" fillId="16" borderId="14" xfId="0" applyNumberFormat="1" applyFill="1" applyBorder="1" applyAlignment="1">
      <alignment horizontal="center"/>
    </xf>
    <xf numFmtId="165" fontId="0" fillId="16" borderId="7" xfId="0" applyNumberFormat="1" applyFill="1" applyBorder="1" applyAlignment="1">
      <alignment horizontal="center"/>
    </xf>
    <xf numFmtId="0" fontId="0" fillId="0" borderId="5" xfId="0" applyBorder="1" applyAlignment="1">
      <alignment horizontal="center"/>
    </xf>
    <xf numFmtId="0" fontId="0" fillId="0" borderId="2" xfId="0" applyBorder="1" applyAlignment="1">
      <alignment horizontal="left"/>
    </xf>
    <xf numFmtId="0" fontId="0" fillId="0" borderId="14" xfId="0" applyBorder="1" applyAlignment="1">
      <alignment horizontal="center"/>
    </xf>
    <xf numFmtId="0" fontId="0" fillId="0" borderId="7" xfId="0" applyBorder="1" applyAlignment="1">
      <alignment horizontal="center"/>
    </xf>
    <xf numFmtId="0" fontId="0" fillId="0" borderId="14" xfId="0" applyBorder="1" applyAlignment="1">
      <alignment horizontal="left"/>
    </xf>
    <xf numFmtId="167" fontId="0" fillId="0" borderId="0" xfId="0" applyNumberFormat="1" applyAlignment="1">
      <alignment horizontal="center"/>
    </xf>
    <xf numFmtId="165" fontId="0" fillId="0" borderId="2" xfId="0" applyNumberFormat="1" applyBorder="1" applyAlignment="1">
      <alignment horizontal="left"/>
    </xf>
    <xf numFmtId="165" fontId="0" fillId="0" borderId="4" xfId="0" applyNumberFormat="1" applyBorder="1" applyAlignment="1">
      <alignment horizontal="left"/>
    </xf>
    <xf numFmtId="164" fontId="0" fillId="0" borderId="0" xfId="0" applyNumberFormat="1" applyAlignment="1">
      <alignment horizontal="center" vertical="center"/>
    </xf>
    <xf numFmtId="165" fontId="0" fillId="0" borderId="0" xfId="0" applyNumberFormat="1" applyAlignment="1">
      <alignment horizontal="center" vertical="center"/>
    </xf>
    <xf numFmtId="0" fontId="0" fillId="0" borderId="0" xfId="0" applyAlignment="1">
      <alignment horizontal="center" wrapText="1"/>
    </xf>
    <xf numFmtId="165" fontId="0" fillId="11" borderId="11" xfId="0" applyNumberFormat="1" applyFill="1" applyBorder="1"/>
    <xf numFmtId="0" fontId="13" fillId="0" borderId="2" xfId="0" applyFont="1" applyBorder="1"/>
    <xf numFmtId="0" fontId="0" fillId="0" borderId="5" xfId="0" applyBorder="1" applyAlignment="1">
      <alignment horizontal="center" vertical="center"/>
    </xf>
    <xf numFmtId="166" fontId="38" fillId="0" borderId="0" xfId="2" applyBorder="1" applyAlignment="1" applyProtection="1">
      <alignment horizontal="center"/>
    </xf>
    <xf numFmtId="0" fontId="0" fillId="0" borderId="4" xfId="0" applyBorder="1" applyAlignment="1">
      <alignment horizontal="left" vertical="top" wrapText="1"/>
    </xf>
    <xf numFmtId="0" fontId="0" fillId="0" borderId="4" xfId="0" applyBorder="1" applyAlignment="1">
      <alignment wrapText="1"/>
    </xf>
    <xf numFmtId="164" fontId="0" fillId="0" borderId="0" xfId="0" applyNumberFormat="1" applyAlignment="1">
      <alignment horizontal="center"/>
    </xf>
    <xf numFmtId="177" fontId="0" fillId="0" borderId="0" xfId="0" applyNumberFormat="1" applyAlignment="1">
      <alignment horizontal="center"/>
    </xf>
    <xf numFmtId="0" fontId="31" fillId="0" borderId="0" xfId="0" applyFont="1"/>
    <xf numFmtId="0" fontId="13" fillId="0" borderId="41" xfId="0" applyFont="1" applyBorder="1"/>
    <xf numFmtId="0" fontId="13" fillId="0" borderId="0" xfId="0" applyFont="1" applyAlignment="1">
      <alignment horizontal="right"/>
    </xf>
    <xf numFmtId="164" fontId="13" fillId="7" borderId="41" xfId="3" applyFont="1" applyFill="1" applyBorder="1" applyProtection="1"/>
    <xf numFmtId="0" fontId="0" fillId="0" borderId="0" xfId="0" applyAlignment="1">
      <alignment horizontal="right"/>
    </xf>
    <xf numFmtId="0" fontId="13" fillId="7" borderId="41" xfId="0" applyFont="1" applyFill="1" applyBorder="1" applyAlignment="1">
      <alignment horizontal="center"/>
    </xf>
    <xf numFmtId="172" fontId="13" fillId="7" borderId="41" xfId="0" applyNumberFormat="1" applyFont="1" applyFill="1" applyBorder="1" applyAlignment="1">
      <alignment horizontal="center"/>
    </xf>
    <xf numFmtId="177" fontId="0" fillId="18" borderId="41" xfId="0" applyNumberFormat="1" applyFill="1" applyBorder="1" applyProtection="1">
      <protection locked="0"/>
    </xf>
    <xf numFmtId="165" fontId="0" fillId="18" borderId="41" xfId="0" applyNumberFormat="1" applyFill="1" applyBorder="1" applyProtection="1">
      <protection locked="0"/>
    </xf>
    <xf numFmtId="4" fontId="0" fillId="18" borderId="0" xfId="0" applyNumberFormat="1" applyFill="1" applyProtection="1">
      <protection locked="0"/>
    </xf>
    <xf numFmtId="165" fontId="0" fillId="18" borderId="0" xfId="0" applyNumberFormat="1" applyFill="1" applyProtection="1">
      <protection locked="0"/>
    </xf>
    <xf numFmtId="11" fontId="0" fillId="0" borderId="0" xfId="0" applyNumberFormat="1"/>
    <xf numFmtId="0" fontId="0" fillId="18" borderId="41" xfId="0" applyFill="1" applyBorder="1" applyProtection="1">
      <protection locked="0"/>
    </xf>
    <xf numFmtId="0" fontId="13" fillId="0" borderId="0" xfId="0" applyFont="1"/>
    <xf numFmtId="0" fontId="1" fillId="0" borderId="0" xfId="0" applyFont="1"/>
    <xf numFmtId="0" fontId="33" fillId="0" borderId="45" xfId="0" applyFont="1" applyBorder="1" applyAlignment="1">
      <alignment horizontal="center"/>
    </xf>
    <xf numFmtId="0" fontId="33" fillId="0" borderId="46" xfId="0" applyFont="1" applyBorder="1" applyAlignment="1">
      <alignment horizontal="center"/>
    </xf>
    <xf numFmtId="0" fontId="33" fillId="0" borderId="47" xfId="0" applyFont="1" applyBorder="1" applyAlignment="1">
      <alignment horizontal="center"/>
    </xf>
    <xf numFmtId="0" fontId="13" fillId="0" borderId="48" xfId="0" applyFont="1" applyBorder="1" applyAlignment="1">
      <alignment horizontal="center"/>
    </xf>
    <xf numFmtId="0" fontId="13" fillId="0" borderId="49" xfId="0" applyFont="1" applyBorder="1" applyAlignment="1">
      <alignment horizontal="center" wrapText="1"/>
    </xf>
    <xf numFmtId="0" fontId="13" fillId="0" borderId="49" xfId="0" applyFont="1" applyBorder="1" applyAlignment="1">
      <alignment horizontal="center"/>
    </xf>
    <xf numFmtId="0" fontId="13" fillId="0" borderId="50" xfId="0" applyFont="1" applyBorder="1" applyAlignment="1">
      <alignment horizontal="center"/>
    </xf>
    <xf numFmtId="0" fontId="13" fillId="0" borderId="51" xfId="0" applyFont="1" applyBorder="1" applyAlignment="1">
      <alignment horizontal="center"/>
    </xf>
    <xf numFmtId="0" fontId="13" fillId="0" borderId="52" xfId="0" applyFont="1" applyBorder="1"/>
    <xf numFmtId="166" fontId="0" fillId="0" borderId="53" xfId="2" applyFont="1" applyBorder="1" applyAlignment="1" applyProtection="1">
      <alignment horizontal="center"/>
    </xf>
    <xf numFmtId="166" fontId="0" fillId="0" borderId="54" xfId="2" applyFont="1" applyBorder="1" applyAlignment="1" applyProtection="1">
      <alignment horizontal="center"/>
    </xf>
    <xf numFmtId="166" fontId="0" fillId="0" borderId="55" xfId="2" applyFont="1" applyBorder="1" applyAlignment="1" applyProtection="1">
      <alignment horizontal="center"/>
    </xf>
    <xf numFmtId="0" fontId="0" fillId="0" borderId="52" xfId="0" applyBorder="1"/>
    <xf numFmtId="166" fontId="0" fillId="0" borderId="56" xfId="2" applyFont="1" applyBorder="1" applyAlignment="1" applyProtection="1">
      <alignment horizontal="center"/>
      <protection locked="0"/>
    </xf>
    <xf numFmtId="166" fontId="0" fillId="0" borderId="57" xfId="2" applyFont="1" applyBorder="1" applyAlignment="1" applyProtection="1">
      <alignment horizontal="center"/>
      <protection locked="0"/>
    </xf>
    <xf numFmtId="166" fontId="0" fillId="0" borderId="58" xfId="2" applyFont="1" applyBorder="1" applyAlignment="1" applyProtection="1">
      <alignment horizontal="center"/>
      <protection locked="0"/>
    </xf>
    <xf numFmtId="166" fontId="0" fillId="0" borderId="56" xfId="2" applyFont="1" applyBorder="1" applyAlignment="1" applyProtection="1">
      <alignment horizontal="center"/>
    </xf>
    <xf numFmtId="166" fontId="0" fillId="0" borderId="57" xfId="2" applyFont="1" applyBorder="1" applyAlignment="1" applyProtection="1">
      <alignment horizontal="center"/>
    </xf>
    <xf numFmtId="166" fontId="0" fillId="0" borderId="58" xfId="2" applyFont="1" applyBorder="1" applyAlignment="1" applyProtection="1">
      <alignment horizontal="center"/>
    </xf>
    <xf numFmtId="166" fontId="0" fillId="19" borderId="56" xfId="2" applyFont="1" applyFill="1" applyBorder="1" applyAlignment="1" applyProtection="1">
      <alignment horizontal="center"/>
      <protection locked="0"/>
    </xf>
    <xf numFmtId="0" fontId="13" fillId="0" borderId="59" xfId="0" applyFont="1" applyBorder="1"/>
    <xf numFmtId="166" fontId="0" fillId="0" borderId="49" xfId="2" applyFont="1" applyBorder="1" applyAlignment="1" applyProtection="1">
      <alignment horizontal="center"/>
      <protection locked="0"/>
    </xf>
    <xf numFmtId="0" fontId="13" fillId="0" borderId="56" xfId="0" applyFont="1" applyBorder="1" applyAlignment="1">
      <alignment horizontal="center"/>
    </xf>
    <xf numFmtId="0" fontId="13" fillId="0" borderId="58" xfId="0" applyFont="1" applyBorder="1" applyAlignment="1">
      <alignment horizontal="center"/>
    </xf>
    <xf numFmtId="0" fontId="0" fillId="0" borderId="60" xfId="0" applyBorder="1"/>
    <xf numFmtId="166" fontId="26" fillId="0" borderId="53" xfId="2" applyFont="1" applyBorder="1" applyAlignment="1" applyProtection="1">
      <alignment horizontal="center"/>
      <protection locked="0"/>
    </xf>
    <xf numFmtId="166" fontId="26" fillId="0" borderId="55" xfId="2" applyFont="1" applyBorder="1" applyAlignment="1" applyProtection="1">
      <alignment horizontal="center"/>
      <protection locked="0"/>
    </xf>
    <xf numFmtId="0" fontId="0" fillId="0" borderId="61" xfId="0" applyBorder="1"/>
    <xf numFmtId="166" fontId="0" fillId="0" borderId="62" xfId="2" applyFont="1" applyBorder="1" applyAlignment="1" applyProtection="1">
      <alignment horizontal="center"/>
      <protection locked="0"/>
    </xf>
    <xf numFmtId="166" fontId="0" fillId="0" borderId="63" xfId="2" applyFont="1" applyBorder="1" applyAlignment="1" applyProtection="1">
      <alignment horizontal="center"/>
      <protection locked="0"/>
    </xf>
    <xf numFmtId="0" fontId="0" fillId="0" borderId="64" xfId="0" applyBorder="1"/>
    <xf numFmtId="166" fontId="0" fillId="0" borderId="53" xfId="2" applyFont="1" applyBorder="1" applyAlignment="1" applyProtection="1">
      <alignment horizontal="center"/>
      <protection locked="0"/>
    </xf>
    <xf numFmtId="166" fontId="0" fillId="0" borderId="55" xfId="2" applyFont="1" applyBorder="1" applyProtection="1">
      <protection locked="0"/>
    </xf>
    <xf numFmtId="0" fontId="0" fillId="0" borderId="48" xfId="0" applyBorder="1" applyAlignment="1">
      <alignment horizontal="right"/>
    </xf>
    <xf numFmtId="0" fontId="26" fillId="0" borderId="64" xfId="0" applyFont="1" applyBorder="1" applyAlignment="1">
      <alignment horizontal="right"/>
    </xf>
    <xf numFmtId="0" fontId="34" fillId="0" borderId="48" xfId="0" applyFont="1" applyBorder="1" applyAlignment="1">
      <alignment horizontal="right"/>
    </xf>
    <xf numFmtId="0" fontId="0" fillId="0" borderId="48" xfId="0" applyBorder="1" applyAlignment="1">
      <alignment horizontal="left"/>
    </xf>
    <xf numFmtId="0" fontId="13" fillId="0" borderId="48" xfId="0" applyFont="1" applyBorder="1"/>
    <xf numFmtId="166" fontId="38" fillId="0" borderId="56" xfId="2" applyBorder="1" applyProtection="1">
      <protection locked="0"/>
    </xf>
    <xf numFmtId="0" fontId="0" fillId="0" borderId="65" xfId="0" applyBorder="1"/>
    <xf numFmtId="178" fontId="0" fillId="0" borderId="66" xfId="0" applyNumberFormat="1" applyBorder="1" applyAlignment="1">
      <alignment horizontal="center"/>
    </xf>
    <xf numFmtId="178" fontId="0" fillId="0" borderId="67" xfId="0" applyNumberFormat="1" applyBorder="1"/>
    <xf numFmtId="0" fontId="13" fillId="0" borderId="65" xfId="0" applyFont="1" applyBorder="1"/>
    <xf numFmtId="172" fontId="38" fillId="0" borderId="66" xfId="3" applyNumberFormat="1" applyBorder="1" applyProtection="1">
      <protection locked="0"/>
    </xf>
    <xf numFmtId="172" fontId="38" fillId="0" borderId="67" xfId="3" applyNumberFormat="1" applyBorder="1" applyProtection="1"/>
    <xf numFmtId="0" fontId="13" fillId="0" borderId="68" xfId="0" applyFont="1" applyBorder="1"/>
    <xf numFmtId="172" fontId="38" fillId="0" borderId="49" xfId="3" applyNumberFormat="1" applyBorder="1" applyProtection="1">
      <protection locked="0"/>
    </xf>
    <xf numFmtId="172" fontId="38" fillId="0" borderId="51" xfId="3" applyNumberFormat="1" applyBorder="1" applyProtection="1">
      <protection locked="0"/>
    </xf>
    <xf numFmtId="0" fontId="13" fillId="0" borderId="69" xfId="0" applyFont="1" applyBorder="1" applyAlignment="1">
      <alignment horizontal="center"/>
    </xf>
    <xf numFmtId="0" fontId="13" fillId="0" borderId="70" xfId="0" applyFont="1" applyBorder="1" applyAlignment="1">
      <alignment horizontal="center"/>
    </xf>
    <xf numFmtId="0" fontId="13" fillId="20" borderId="58" xfId="0" applyFont="1" applyFill="1" applyBorder="1" applyAlignment="1">
      <alignment horizontal="center"/>
    </xf>
    <xf numFmtId="0" fontId="0" fillId="0" borderId="49" xfId="0" applyBorder="1" applyAlignment="1">
      <alignment horizontal="center"/>
    </xf>
    <xf numFmtId="0" fontId="0" fillId="20" borderId="51" xfId="0" applyFill="1" applyBorder="1" applyAlignment="1">
      <alignment horizontal="center"/>
    </xf>
    <xf numFmtId="166" fontId="0" fillId="20" borderId="55" xfId="2" applyFont="1" applyFill="1" applyBorder="1" applyAlignment="1" applyProtection="1">
      <alignment horizontal="center"/>
      <protection locked="0"/>
    </xf>
    <xf numFmtId="166" fontId="0" fillId="20" borderId="63" xfId="2" applyFont="1" applyFill="1" applyBorder="1" applyAlignment="1" applyProtection="1">
      <alignment horizontal="center"/>
      <protection locked="0"/>
    </xf>
    <xf numFmtId="166" fontId="0" fillId="0" borderId="53" xfId="2" applyFont="1" applyBorder="1" applyProtection="1">
      <protection locked="0"/>
    </xf>
    <xf numFmtId="166" fontId="0" fillId="20" borderId="55" xfId="2" applyFont="1" applyFill="1" applyBorder="1" applyProtection="1">
      <protection locked="0"/>
    </xf>
    <xf numFmtId="166" fontId="0" fillId="20" borderId="58" xfId="2" applyFont="1" applyFill="1" applyBorder="1" applyAlignment="1" applyProtection="1">
      <alignment horizontal="center"/>
      <protection locked="0"/>
    </xf>
    <xf numFmtId="0" fontId="0" fillId="0" borderId="48" xfId="0" applyBorder="1"/>
    <xf numFmtId="166" fontId="0" fillId="0" borderId="56" xfId="2" applyFont="1" applyBorder="1" applyProtection="1">
      <protection locked="0"/>
    </xf>
    <xf numFmtId="166" fontId="0" fillId="20" borderId="51" xfId="2" applyFont="1" applyFill="1" applyBorder="1" applyAlignment="1" applyProtection="1">
      <alignment horizontal="center"/>
      <protection locked="0"/>
    </xf>
    <xf numFmtId="179" fontId="0" fillId="0" borderId="0" xfId="0" applyNumberFormat="1" applyAlignment="1">
      <alignment horizontal="center"/>
    </xf>
    <xf numFmtId="0" fontId="13" fillId="0" borderId="60" xfId="0" applyFont="1" applyBorder="1"/>
    <xf numFmtId="179" fontId="13" fillId="0" borderId="69" xfId="0" applyNumberFormat="1" applyFont="1" applyBorder="1" applyAlignment="1">
      <alignment horizontal="center"/>
    </xf>
    <xf numFmtId="179" fontId="13" fillId="0" borderId="70" xfId="0" applyNumberFormat="1" applyFont="1" applyBorder="1" applyAlignment="1">
      <alignment horizontal="center"/>
    </xf>
    <xf numFmtId="0" fontId="13" fillId="0" borderId="64" xfId="0" applyFont="1" applyBorder="1"/>
    <xf numFmtId="166" fontId="0" fillId="0" borderId="55" xfId="2" applyFont="1" applyBorder="1" applyAlignment="1" applyProtection="1">
      <alignment horizontal="center"/>
      <protection locked="0"/>
    </xf>
    <xf numFmtId="166" fontId="0" fillId="0" borderId="58" xfId="2" applyFont="1" applyBorder="1" applyProtection="1">
      <protection locked="0"/>
    </xf>
    <xf numFmtId="166" fontId="0" fillId="0" borderId="66" xfId="2" applyFont="1" applyBorder="1" applyAlignment="1" applyProtection="1">
      <alignment horizontal="center"/>
      <protection locked="0"/>
    </xf>
    <xf numFmtId="166" fontId="0" fillId="0" borderId="67" xfId="2" applyFont="1" applyBorder="1" applyAlignment="1" applyProtection="1">
      <alignment horizontal="center"/>
      <protection locked="0"/>
    </xf>
    <xf numFmtId="164" fontId="0" fillId="0" borderId="66" xfId="3" applyFont="1" applyBorder="1" applyAlignment="1" applyProtection="1">
      <alignment horizontal="center"/>
      <protection locked="0"/>
    </xf>
    <xf numFmtId="164" fontId="0" fillId="0" borderId="67" xfId="3" applyFont="1" applyBorder="1" applyAlignment="1" applyProtection="1">
      <alignment horizontal="center"/>
      <protection locked="0"/>
    </xf>
    <xf numFmtId="164" fontId="0" fillId="0" borderId="49" xfId="3" applyFont="1" applyBorder="1" applyAlignment="1" applyProtection="1">
      <alignment horizontal="center"/>
      <protection locked="0"/>
    </xf>
    <xf numFmtId="164" fontId="0" fillId="0" borderId="51" xfId="3" applyFont="1" applyBorder="1" applyAlignment="1" applyProtection="1">
      <alignment horizontal="center"/>
      <protection locked="0"/>
    </xf>
    <xf numFmtId="0" fontId="13" fillId="0" borderId="60" xfId="0" applyFont="1" applyBorder="1" applyAlignment="1">
      <alignment horizontal="center"/>
    </xf>
    <xf numFmtId="0" fontId="13" fillId="0" borderId="68" xfId="0" applyFont="1" applyBorder="1" applyAlignment="1">
      <alignment horizontal="center"/>
    </xf>
    <xf numFmtId="166" fontId="0" fillId="0" borderId="69" xfId="2" applyFont="1" applyBorder="1" applyAlignment="1" applyProtection="1">
      <alignment horizontal="center"/>
      <protection locked="0"/>
    </xf>
    <xf numFmtId="166" fontId="0" fillId="0" borderId="70" xfId="2" applyFont="1" applyBorder="1" applyAlignment="1" applyProtection="1">
      <alignment horizontal="center"/>
      <protection locked="0"/>
    </xf>
    <xf numFmtId="0" fontId="34" fillId="0" borderId="48" xfId="0" applyFont="1" applyBorder="1" applyAlignment="1">
      <alignment horizontal="left"/>
    </xf>
    <xf numFmtId="178" fontId="0" fillId="0" borderId="56" xfId="0" applyNumberFormat="1" applyBorder="1" applyAlignment="1">
      <alignment horizontal="center"/>
    </xf>
    <xf numFmtId="178" fontId="0" fillId="0" borderId="58" xfId="0" applyNumberFormat="1" applyBorder="1"/>
    <xf numFmtId="172" fontId="0" fillId="0" borderId="56" xfId="3" applyNumberFormat="1" applyFont="1" applyBorder="1" applyAlignment="1" applyProtection="1">
      <alignment horizontal="center"/>
      <protection locked="0"/>
    </xf>
    <xf numFmtId="172" fontId="0" fillId="0" borderId="58" xfId="3" applyNumberFormat="1" applyFont="1" applyBorder="1" applyAlignment="1" applyProtection="1">
      <alignment horizontal="center"/>
      <protection locked="0"/>
    </xf>
    <xf numFmtId="172" fontId="0" fillId="0" borderId="49" xfId="3" applyNumberFormat="1" applyFont="1" applyBorder="1" applyAlignment="1" applyProtection="1">
      <alignment horizontal="center"/>
      <protection locked="0"/>
    </xf>
    <xf numFmtId="172" fontId="0" fillId="0" borderId="51" xfId="3" applyNumberFormat="1" applyFont="1" applyBorder="1" applyAlignment="1" applyProtection="1">
      <alignment horizontal="center"/>
      <protection locked="0"/>
    </xf>
    <xf numFmtId="0" fontId="0" fillId="21" borderId="48" xfId="0" applyFill="1" applyBorder="1"/>
    <xf numFmtId="166" fontId="0" fillId="21" borderId="56" xfId="2" applyFont="1" applyFill="1" applyBorder="1" applyAlignment="1" applyProtection="1">
      <alignment horizontal="center"/>
      <protection locked="0"/>
    </xf>
    <xf numFmtId="166" fontId="0" fillId="21" borderId="58" xfId="2" applyFont="1" applyFill="1" applyBorder="1" applyAlignment="1" applyProtection="1">
      <alignment horizontal="center"/>
      <protection locked="0"/>
    </xf>
    <xf numFmtId="4" fontId="38" fillId="0" borderId="56" xfId="3" applyNumberFormat="1" applyBorder="1" applyProtection="1"/>
    <xf numFmtId="3" fontId="0" fillId="0" borderId="56" xfId="0" applyNumberFormat="1" applyBorder="1" applyAlignment="1">
      <alignment horizontal="center"/>
    </xf>
    <xf numFmtId="4" fontId="0" fillId="0" borderId="55" xfId="2" applyNumberFormat="1" applyFont="1" applyBorder="1" applyAlignment="1" applyProtection="1">
      <alignment horizontal="center"/>
      <protection locked="0"/>
    </xf>
    <xf numFmtId="180" fontId="0" fillId="0" borderId="56" xfId="0" applyNumberFormat="1" applyBorder="1" applyAlignment="1">
      <alignment horizontal="center"/>
    </xf>
    <xf numFmtId="166" fontId="38" fillId="0" borderId="56" xfId="2" applyBorder="1" applyProtection="1"/>
    <xf numFmtId="170" fontId="0" fillId="0" borderId="56" xfId="1" applyFont="1" applyBorder="1" applyAlignment="1" applyProtection="1">
      <alignment horizontal="center"/>
      <protection locked="0"/>
    </xf>
    <xf numFmtId="170" fontId="0" fillId="0" borderId="58" xfId="1" applyFont="1" applyBorder="1" applyAlignment="1" applyProtection="1">
      <alignment horizontal="center"/>
      <protection locked="0"/>
    </xf>
    <xf numFmtId="166" fontId="13" fillId="0" borderId="56" xfId="2" applyFont="1" applyBorder="1" applyAlignment="1" applyProtection="1">
      <alignment horizontal="center"/>
      <protection locked="0"/>
    </xf>
    <xf numFmtId="166" fontId="13" fillId="0" borderId="58" xfId="2" applyFont="1" applyBorder="1" applyAlignment="1" applyProtection="1">
      <alignment horizontal="center"/>
      <protection locked="0"/>
    </xf>
    <xf numFmtId="4" fontId="0" fillId="0" borderId="56" xfId="2" applyNumberFormat="1" applyFont="1" applyBorder="1" applyAlignment="1" applyProtection="1">
      <alignment horizontal="right"/>
      <protection locked="0"/>
    </xf>
    <xf numFmtId="166" fontId="13" fillId="0" borderId="56" xfId="2" applyFont="1" applyBorder="1" applyAlignment="1" applyProtection="1">
      <alignment horizontal="center"/>
    </xf>
    <xf numFmtId="0" fontId="13" fillId="0" borderId="48" xfId="0" applyFont="1" applyBorder="1" applyAlignment="1">
      <alignment horizontal="left"/>
    </xf>
    <xf numFmtId="172" fontId="0" fillId="0" borderId="56" xfId="3" applyNumberFormat="1" applyFont="1" applyBorder="1" applyProtection="1">
      <protection locked="0"/>
    </xf>
    <xf numFmtId="172" fontId="38" fillId="0" borderId="58" xfId="3" applyNumberFormat="1" applyBorder="1" applyProtection="1">
      <protection locked="0"/>
    </xf>
    <xf numFmtId="164" fontId="0" fillId="0" borderId="56" xfId="3" applyFont="1" applyBorder="1" applyProtection="1"/>
    <xf numFmtId="164" fontId="38" fillId="0" borderId="58" xfId="3" applyBorder="1" applyProtection="1"/>
    <xf numFmtId="164" fontId="0" fillId="0" borderId="56" xfId="3" applyFont="1" applyBorder="1" applyProtection="1">
      <protection locked="0"/>
    </xf>
    <xf numFmtId="164" fontId="0" fillId="0" borderId="58" xfId="3" applyFont="1" applyBorder="1" applyProtection="1">
      <protection locked="0"/>
    </xf>
    <xf numFmtId="166" fontId="38" fillId="0" borderId="58" xfId="2" applyBorder="1" applyProtection="1">
      <protection locked="0"/>
    </xf>
    <xf numFmtId="166" fontId="13" fillId="0" borderId="56" xfId="2" applyFont="1" applyBorder="1" applyProtection="1">
      <protection locked="0"/>
    </xf>
    <xf numFmtId="166" fontId="13" fillId="0" borderId="58" xfId="2" applyFont="1" applyBorder="1" applyProtection="1">
      <protection locked="0"/>
    </xf>
    <xf numFmtId="166" fontId="0" fillId="0" borderId="56" xfId="2" applyFont="1" applyBorder="1" applyProtection="1"/>
    <xf numFmtId="166" fontId="0" fillId="0" borderId="58" xfId="2" applyFont="1" applyBorder="1" applyProtection="1"/>
    <xf numFmtId="181" fontId="38" fillId="0" borderId="49" xfId="3" applyNumberFormat="1" applyBorder="1" applyProtection="1">
      <protection locked="0"/>
    </xf>
    <xf numFmtId="181" fontId="38" fillId="0" borderId="51" xfId="3" applyNumberFormat="1" applyBorder="1" applyProtection="1">
      <protection locked="0"/>
    </xf>
    <xf numFmtId="0" fontId="33" fillId="0" borderId="0" xfId="0" applyFont="1"/>
    <xf numFmtId="0" fontId="35" fillId="0" borderId="0" xfId="0" applyFont="1"/>
    <xf numFmtId="0" fontId="26" fillId="0" borderId="0" xfId="0" applyFont="1"/>
    <xf numFmtId="0" fontId="2" fillId="11" borderId="8" xfId="0" applyFont="1" applyFill="1" applyBorder="1" applyAlignment="1">
      <alignment horizontal="center"/>
    </xf>
    <xf numFmtId="0" fontId="2" fillId="11" borderId="9" xfId="0" applyFont="1" applyFill="1" applyBorder="1" applyAlignment="1">
      <alignment horizontal="center"/>
    </xf>
    <xf numFmtId="0" fontId="2" fillId="11" borderId="10" xfId="0" applyFont="1" applyFill="1" applyBorder="1" applyAlignment="1">
      <alignment horizontal="center"/>
    </xf>
    <xf numFmtId="166" fontId="26" fillId="0" borderId="8" xfId="0" applyNumberFormat="1" applyFont="1" applyBorder="1"/>
    <xf numFmtId="164" fontId="26" fillId="0" borderId="11" xfId="0" applyNumberFormat="1" applyFont="1" applyBorder="1"/>
    <xf numFmtId="182" fontId="26" fillId="0" borderId="2" xfId="0" applyNumberFormat="1" applyFont="1" applyBorder="1"/>
    <xf numFmtId="182" fontId="26" fillId="0" borderId="16" xfId="0" applyNumberFormat="1" applyFont="1" applyBorder="1"/>
    <xf numFmtId="182" fontId="26" fillId="0" borderId="3" xfId="0" applyNumberFormat="1" applyFont="1" applyBorder="1"/>
    <xf numFmtId="164" fontId="26" fillId="0" borderId="12" xfId="0" applyNumberFormat="1" applyFont="1" applyBorder="1"/>
    <xf numFmtId="182" fontId="26" fillId="0" borderId="4" xfId="0" applyNumberFormat="1" applyFont="1" applyBorder="1"/>
    <xf numFmtId="182" fontId="26" fillId="0" borderId="0" xfId="0" applyNumberFormat="1" applyFont="1"/>
    <xf numFmtId="182" fontId="26" fillId="0" borderId="5" xfId="0" applyNumberFormat="1" applyFont="1" applyBorder="1"/>
    <xf numFmtId="164" fontId="26" fillId="0" borderId="13" xfId="0" applyNumberFormat="1" applyFont="1" applyBorder="1"/>
    <xf numFmtId="182" fontId="26" fillId="0" borderId="6" xfId="0" applyNumberFormat="1" applyFont="1" applyBorder="1"/>
    <xf numFmtId="182" fontId="26" fillId="0" borderId="14" xfId="0" applyNumberFormat="1" applyFont="1" applyBorder="1"/>
    <xf numFmtId="182" fontId="26" fillId="0" borderId="7" xfId="0" applyNumberFormat="1" applyFont="1" applyBorder="1"/>
    <xf numFmtId="0" fontId="33" fillId="0" borderId="45" xfId="0" applyFont="1" applyBorder="1" applyAlignment="1">
      <alignment horizontal="left"/>
    </xf>
    <xf numFmtId="0" fontId="33" fillId="0" borderId="71" xfId="0" applyFont="1" applyBorder="1" applyAlignment="1">
      <alignment horizontal="left"/>
    </xf>
    <xf numFmtId="0" fontId="33" fillId="0" borderId="52" xfId="0" applyFont="1" applyBorder="1" applyAlignment="1">
      <alignment horizontal="center"/>
    </xf>
    <xf numFmtId="0" fontId="33" fillId="0" borderId="72" xfId="0" applyFont="1" applyBorder="1" applyAlignment="1">
      <alignment horizontal="center"/>
    </xf>
    <xf numFmtId="0" fontId="13" fillId="0" borderId="65" xfId="0" applyFont="1" applyBorder="1" applyAlignment="1">
      <alignment horizontal="center"/>
    </xf>
    <xf numFmtId="0" fontId="13" fillId="0" borderId="66" xfId="0" applyFont="1" applyBorder="1" applyAlignment="1">
      <alignment horizontal="center" wrapText="1"/>
    </xf>
    <xf numFmtId="0" fontId="13" fillId="0" borderId="66" xfId="0" applyFont="1" applyBorder="1" applyAlignment="1">
      <alignment horizontal="center"/>
    </xf>
    <xf numFmtId="0" fontId="13" fillId="0" borderId="67" xfId="0" applyFont="1" applyBorder="1" applyAlignment="1">
      <alignment horizontal="center"/>
    </xf>
    <xf numFmtId="0" fontId="13" fillId="0" borderId="45" xfId="0" applyFont="1" applyBorder="1"/>
    <xf numFmtId="166" fontId="0" fillId="0" borderId="73" xfId="2" applyFont="1" applyBorder="1" applyAlignment="1" applyProtection="1">
      <alignment horizontal="center"/>
    </xf>
    <xf numFmtId="166" fontId="0" fillId="0" borderId="74" xfId="2" applyFont="1" applyBorder="1" applyAlignment="1" applyProtection="1">
      <alignment horizontal="center"/>
    </xf>
    <xf numFmtId="166" fontId="0" fillId="0" borderId="75" xfId="2" applyFont="1" applyBorder="1" applyAlignment="1" applyProtection="1">
      <alignment horizontal="center"/>
    </xf>
    <xf numFmtId="166" fontId="0" fillId="0" borderId="76" xfId="2" applyFont="1" applyBorder="1" applyAlignment="1" applyProtection="1">
      <alignment horizontal="center"/>
    </xf>
    <xf numFmtId="0" fontId="0" fillId="0" borderId="77" xfId="0" applyBorder="1"/>
    <xf numFmtId="166" fontId="0" fillId="0" borderId="78" xfId="2" applyFont="1" applyBorder="1" applyAlignment="1" applyProtection="1">
      <alignment horizontal="center"/>
      <protection locked="0"/>
    </xf>
    <xf numFmtId="166" fontId="0" fillId="0" borderId="79" xfId="2" applyFont="1" applyBorder="1" applyAlignment="1" applyProtection="1">
      <alignment horizontal="center"/>
      <protection locked="0"/>
    </xf>
    <xf numFmtId="0" fontId="13" fillId="0" borderId="77" xfId="0" applyFont="1" applyBorder="1"/>
    <xf numFmtId="166" fontId="0" fillId="0" borderId="78" xfId="2" applyFont="1" applyBorder="1" applyAlignment="1" applyProtection="1">
      <alignment horizontal="center"/>
    </xf>
    <xf numFmtId="166" fontId="0" fillId="0" borderId="79" xfId="2" applyFont="1" applyBorder="1" applyAlignment="1" applyProtection="1">
      <alignment horizontal="center"/>
    </xf>
    <xf numFmtId="166" fontId="0" fillId="0" borderId="80" xfId="2" applyFont="1" applyBorder="1" applyAlignment="1" applyProtection="1">
      <alignment horizontal="center"/>
      <protection locked="0"/>
    </xf>
    <xf numFmtId="166" fontId="0" fillId="0" borderId="81" xfId="2" applyFont="1" applyBorder="1" applyAlignment="1" applyProtection="1">
      <alignment horizontal="center"/>
      <protection locked="0"/>
    </xf>
    <xf numFmtId="166" fontId="0" fillId="0" borderId="82" xfId="2" applyFont="1" applyBorder="1" applyAlignment="1" applyProtection="1">
      <alignment horizontal="center"/>
      <protection locked="0"/>
    </xf>
    <xf numFmtId="166" fontId="0" fillId="0" borderId="83" xfId="2" applyFont="1" applyBorder="1" applyAlignment="1" applyProtection="1">
      <alignment horizontal="center"/>
      <protection locked="0"/>
    </xf>
    <xf numFmtId="166" fontId="0" fillId="0" borderId="84" xfId="2" applyFont="1" applyBorder="1" applyAlignment="1" applyProtection="1">
      <alignment horizontal="center"/>
      <protection locked="0"/>
    </xf>
    <xf numFmtId="166" fontId="0" fillId="19" borderId="53" xfId="2" applyFont="1" applyFill="1" applyBorder="1" applyAlignment="1" applyProtection="1">
      <alignment horizontal="center"/>
      <protection locked="0"/>
    </xf>
    <xf numFmtId="166" fontId="0" fillId="0" borderId="56" xfId="2" applyFont="1" applyBorder="1" applyAlignment="1" applyProtection="1">
      <alignment horizontal="center" vertical="center"/>
      <protection locked="0"/>
    </xf>
    <xf numFmtId="166" fontId="0" fillId="0" borderId="57" xfId="2" applyFont="1" applyBorder="1" applyAlignment="1" applyProtection="1">
      <alignment horizontal="center" vertical="center"/>
      <protection locked="0"/>
    </xf>
    <xf numFmtId="166" fontId="0" fillId="0" borderId="79" xfId="2" applyFont="1" applyBorder="1" applyAlignment="1" applyProtection="1">
      <alignment horizontal="center" vertical="center"/>
      <protection locked="0"/>
    </xf>
    <xf numFmtId="0" fontId="13" fillId="0" borderId="77" xfId="0" applyFont="1" applyBorder="1" applyAlignment="1">
      <alignment horizontal="left"/>
    </xf>
    <xf numFmtId="0" fontId="13" fillId="0" borderId="85" xfId="0" applyFont="1" applyBorder="1"/>
    <xf numFmtId="0" fontId="33" fillId="0" borderId="60" xfId="0" applyFont="1" applyBorder="1"/>
    <xf numFmtId="0" fontId="33" fillId="0" borderId="68" xfId="0" applyFont="1" applyBorder="1"/>
    <xf numFmtId="0" fontId="0" fillId="0" borderId="53" xfId="0" applyBorder="1"/>
    <xf numFmtId="0" fontId="0" fillId="0" borderId="56" xfId="0" applyBorder="1"/>
    <xf numFmtId="0" fontId="13" fillId="0" borderId="68" xfId="0" applyFont="1" applyBorder="1" applyAlignment="1">
      <alignment horizontal="left"/>
    </xf>
    <xf numFmtId="166" fontId="0" fillId="0" borderId="49" xfId="2" applyFont="1" applyBorder="1" applyProtection="1">
      <protection locked="0"/>
    </xf>
    <xf numFmtId="0" fontId="36" fillId="0" borderId="0" xfId="0" applyFont="1"/>
    <xf numFmtId="0" fontId="13" fillId="0" borderId="70" xfId="0" applyFont="1" applyBorder="1"/>
    <xf numFmtId="0" fontId="13" fillId="0" borderId="51" xfId="0" applyFont="1" applyBorder="1"/>
    <xf numFmtId="166" fontId="0" fillId="0" borderId="69" xfId="2" applyFont="1" applyBorder="1" applyProtection="1"/>
    <xf numFmtId="0" fontId="0" fillId="0" borderId="69" xfId="0" applyBorder="1" applyAlignment="1">
      <alignment horizontal="center"/>
    </xf>
    <xf numFmtId="0" fontId="0" fillId="0" borderId="70" xfId="0" applyBorder="1"/>
    <xf numFmtId="166" fontId="0" fillId="0" borderId="53" xfId="2" applyFont="1" applyBorder="1" applyProtection="1"/>
    <xf numFmtId="0" fontId="0" fillId="0" borderId="53" xfId="0" applyBorder="1" applyAlignment="1">
      <alignment horizontal="center"/>
    </xf>
    <xf numFmtId="0" fontId="0" fillId="0" borderId="55" xfId="0" applyBorder="1"/>
    <xf numFmtId="2" fontId="0" fillId="0" borderId="56" xfId="2" applyNumberFormat="1" applyFont="1" applyBorder="1" applyProtection="1">
      <protection locked="0"/>
    </xf>
    <xf numFmtId="0" fontId="0" fillId="0" borderId="56" xfId="0" applyBorder="1" applyAlignment="1">
      <alignment horizontal="center"/>
    </xf>
    <xf numFmtId="178" fontId="0" fillId="0" borderId="56" xfId="0" applyNumberFormat="1" applyBorder="1"/>
    <xf numFmtId="178" fontId="13" fillId="0" borderId="56" xfId="0" applyNumberFormat="1" applyFont="1" applyBorder="1" applyAlignment="1">
      <alignment horizontal="center"/>
    </xf>
    <xf numFmtId="2" fontId="0" fillId="0" borderId="56" xfId="0" applyNumberFormat="1" applyBorder="1" applyAlignment="1">
      <alignment horizontal="center"/>
    </xf>
    <xf numFmtId="2" fontId="0" fillId="0" borderId="58" xfId="0" applyNumberFormat="1" applyBorder="1" applyAlignment="1">
      <alignment horizontal="center"/>
    </xf>
    <xf numFmtId="178" fontId="0" fillId="0" borderId="0" xfId="0" applyNumberFormat="1"/>
    <xf numFmtId="166" fontId="0" fillId="0" borderId="51" xfId="2" applyFont="1" applyBorder="1" applyProtection="1">
      <protection locked="0"/>
    </xf>
    <xf numFmtId="178" fontId="13" fillId="0" borderId="0" xfId="0" applyNumberFormat="1" applyFont="1" applyAlignment="1">
      <alignment horizontal="center"/>
    </xf>
    <xf numFmtId="178" fontId="0" fillId="0" borderId="56" xfId="0" applyNumberFormat="1" applyBorder="1" applyAlignment="1" applyProtection="1">
      <alignment horizontal="center"/>
      <protection locked="0"/>
    </xf>
    <xf numFmtId="0" fontId="13" fillId="0" borderId="65" xfId="0" applyFont="1" applyBorder="1" applyAlignment="1">
      <alignment horizontal="center" vertical="center"/>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86" xfId="0" applyFont="1" applyBorder="1" applyAlignment="1">
      <alignment horizontal="center"/>
    </xf>
    <xf numFmtId="166" fontId="0" fillId="0" borderId="87" xfId="2" applyFont="1" applyBorder="1" applyAlignment="1" applyProtection="1">
      <alignment horizontal="center"/>
      <protection locked="0"/>
    </xf>
    <xf numFmtId="166" fontId="0" fillId="0" borderId="54" xfId="2" applyFont="1" applyBorder="1" applyAlignment="1" applyProtection="1">
      <alignment horizontal="center"/>
      <protection locked="0"/>
    </xf>
    <xf numFmtId="0" fontId="13" fillId="0" borderId="88" xfId="0" applyFont="1" applyBorder="1" applyAlignment="1">
      <alignment horizontal="center"/>
    </xf>
    <xf numFmtId="166" fontId="0" fillId="0" borderId="89" xfId="2" applyFont="1" applyBorder="1" applyAlignment="1" applyProtection="1">
      <alignment horizontal="center"/>
      <protection locked="0"/>
    </xf>
    <xf numFmtId="166" fontId="0" fillId="0" borderId="89" xfId="2" applyFont="1" applyBorder="1" applyAlignment="1" applyProtection="1">
      <alignment horizontal="center"/>
    </xf>
    <xf numFmtId="0" fontId="13" fillId="0" borderId="90" xfId="0" applyFont="1" applyBorder="1" applyAlignment="1">
      <alignment horizontal="center"/>
    </xf>
    <xf numFmtId="166" fontId="0" fillId="0" borderId="91" xfId="2" applyFont="1" applyBorder="1" applyAlignment="1" applyProtection="1">
      <alignment horizontal="center"/>
      <protection locked="0"/>
    </xf>
    <xf numFmtId="166" fontId="0" fillId="0" borderId="50" xfId="2" applyFont="1" applyBorder="1" applyAlignment="1" applyProtection="1">
      <alignment horizontal="center"/>
      <protection locked="0"/>
    </xf>
    <xf numFmtId="166" fontId="0" fillId="0" borderId="51" xfId="2" applyFont="1" applyBorder="1" applyAlignment="1" applyProtection="1">
      <alignment horizontal="center"/>
      <protection locked="0"/>
    </xf>
    <xf numFmtId="166" fontId="0" fillId="0" borderId="41" xfId="2" applyFont="1" applyBorder="1" applyProtection="1">
      <protection locked="0"/>
    </xf>
    <xf numFmtId="164" fontId="0" fillId="0" borderId="41" xfId="3" applyFont="1" applyBorder="1" applyProtection="1">
      <protection locked="0"/>
    </xf>
    <xf numFmtId="0" fontId="4" fillId="17" borderId="42" xfId="0" applyFont="1" applyFill="1" applyBorder="1"/>
    <xf numFmtId="0" fontId="0" fillId="0" borderId="42" xfId="0" applyBorder="1" applyAlignment="1">
      <alignment horizontal="center"/>
    </xf>
    <xf numFmtId="0" fontId="0" fillId="0" borderId="41" xfId="0" applyBorder="1"/>
    <xf numFmtId="0" fontId="33" fillId="0" borderId="60" xfId="0" applyFont="1" applyBorder="1" applyAlignment="1">
      <alignment horizontal="left"/>
    </xf>
    <xf numFmtId="0" fontId="33" fillId="0" borderId="69" xfId="0" applyFont="1" applyBorder="1" applyAlignment="1">
      <alignment horizontal="center"/>
    </xf>
    <xf numFmtId="0" fontId="33" fillId="0" borderId="70" xfId="0" applyFont="1" applyBorder="1" applyAlignment="1">
      <alignment horizontal="center"/>
    </xf>
    <xf numFmtId="0" fontId="13" fillId="0" borderId="56" xfId="0" applyFont="1" applyBorder="1" applyAlignment="1" applyProtection="1">
      <alignment horizontal="center"/>
      <protection locked="0"/>
    </xf>
    <xf numFmtId="0" fontId="13" fillId="0" borderId="58" xfId="0" applyFont="1" applyBorder="1" applyAlignment="1" applyProtection="1">
      <alignment horizontal="center"/>
      <protection locked="0"/>
    </xf>
    <xf numFmtId="164" fontId="0" fillId="0" borderId="56" xfId="3" applyFont="1" applyBorder="1" applyAlignment="1" applyProtection="1">
      <alignment horizontal="center"/>
      <protection locked="0"/>
    </xf>
    <xf numFmtId="164" fontId="0" fillId="0" borderId="58" xfId="3" applyFont="1" applyBorder="1" applyAlignment="1" applyProtection="1">
      <alignment horizontal="center"/>
      <protection locked="0"/>
    </xf>
    <xf numFmtId="166" fontId="13" fillId="0" borderId="49" xfId="2" applyFont="1" applyBorder="1" applyAlignment="1" applyProtection="1">
      <alignment horizontal="center"/>
      <protection locked="0"/>
    </xf>
    <xf numFmtId="1" fontId="13" fillId="0" borderId="0" xfId="0" applyNumberFormat="1" applyFont="1" applyAlignment="1">
      <alignment horizontal="center"/>
    </xf>
    <xf numFmtId="0" fontId="33" fillId="0" borderId="92" xfId="0" applyFont="1" applyBorder="1" applyAlignment="1">
      <alignment horizontal="left"/>
    </xf>
    <xf numFmtId="0" fontId="33" fillId="0" borderId="93" xfId="0" applyFont="1" applyBorder="1" applyAlignment="1">
      <alignment horizontal="left"/>
    </xf>
    <xf numFmtId="0" fontId="33" fillId="0" borderId="94" xfId="0" applyFont="1" applyBorder="1" applyAlignment="1">
      <alignment horizontal="left"/>
    </xf>
    <xf numFmtId="0" fontId="13" fillId="0" borderId="95" xfId="0" applyFont="1" applyBorder="1" applyAlignment="1">
      <alignment horizontal="center"/>
    </xf>
    <xf numFmtId="0" fontId="13" fillId="0" borderId="96" xfId="0" applyFont="1" applyBorder="1" applyAlignment="1">
      <alignment horizontal="center"/>
    </xf>
    <xf numFmtId="0" fontId="13" fillId="0" borderId="97" xfId="0" applyFont="1" applyBorder="1" applyAlignment="1">
      <alignment horizontal="center"/>
    </xf>
    <xf numFmtId="0" fontId="13" fillId="0" borderId="98" xfId="0" applyFont="1" applyBorder="1" applyAlignment="1">
      <alignment horizontal="center"/>
    </xf>
    <xf numFmtId="0" fontId="13" fillId="0" borderId="99" xfId="0" applyFont="1" applyBorder="1" applyAlignment="1">
      <alignment horizontal="center"/>
    </xf>
    <xf numFmtId="0" fontId="13" fillId="0" borderId="100" xfId="0" applyFont="1" applyBorder="1" applyAlignment="1">
      <alignment horizontal="center"/>
    </xf>
    <xf numFmtId="166" fontId="0" fillId="0" borderId="69" xfId="2" applyFont="1" applyBorder="1" applyProtection="1">
      <protection locked="0"/>
    </xf>
    <xf numFmtId="164" fontId="0" fillId="0" borderId="69" xfId="3" applyFont="1" applyBorder="1" applyProtection="1">
      <protection locked="0"/>
    </xf>
    <xf numFmtId="183" fontId="0" fillId="0" borderId="48" xfId="0" applyNumberFormat="1" applyBorder="1" applyProtection="1">
      <protection locked="0"/>
    </xf>
    <xf numFmtId="183" fontId="0" fillId="0" borderId="68" xfId="0" applyNumberFormat="1" applyBorder="1" applyProtection="1">
      <protection locked="0"/>
    </xf>
    <xf numFmtId="164" fontId="0" fillId="0" borderId="49" xfId="3" applyFont="1" applyBorder="1" applyProtection="1">
      <protection locked="0"/>
    </xf>
    <xf numFmtId="166" fontId="13" fillId="0" borderId="0" xfId="2" applyFont="1" applyBorder="1" applyAlignment="1" applyProtection="1">
      <alignment horizontal="center"/>
    </xf>
    <xf numFmtId="164" fontId="0" fillId="0" borderId="0" xfId="3" applyFont="1" applyBorder="1" applyProtection="1"/>
    <xf numFmtId="183" fontId="0" fillId="0" borderId="48" xfId="0" applyNumberFormat="1" applyBorder="1" applyAlignment="1" applyProtection="1">
      <alignment horizontal="left"/>
      <protection locked="0"/>
    </xf>
    <xf numFmtId="166" fontId="13" fillId="0" borderId="51" xfId="2" applyFont="1" applyBorder="1" applyAlignment="1" applyProtection="1">
      <alignment horizontal="center"/>
      <protection locked="0"/>
    </xf>
    <xf numFmtId="0" fontId="0" fillId="0" borderId="101" xfId="0" applyBorder="1"/>
    <xf numFmtId="166" fontId="13" fillId="0" borderId="55" xfId="2" applyFont="1" applyBorder="1" applyAlignment="1" applyProtection="1">
      <alignment horizontal="center"/>
    </xf>
    <xf numFmtId="0" fontId="13" fillId="0" borderId="86" xfId="0" applyFont="1" applyBorder="1"/>
    <xf numFmtId="166" fontId="0" fillId="0" borderId="87" xfId="2" applyFont="1" applyBorder="1" applyAlignment="1" applyProtection="1">
      <alignment horizontal="center"/>
    </xf>
    <xf numFmtId="0" fontId="0" fillId="0" borderId="88" xfId="0" applyBorder="1"/>
    <xf numFmtId="0" fontId="0" fillId="0" borderId="88" xfId="0" applyBorder="1" applyAlignment="1">
      <alignment horizontal="left"/>
    </xf>
    <xf numFmtId="0" fontId="13" fillId="0" borderId="88" xfId="0" applyFont="1" applyBorder="1"/>
    <xf numFmtId="0" fontId="13" fillId="0" borderId="88" xfId="0" applyFont="1" applyBorder="1" applyAlignment="1">
      <alignment horizontal="left"/>
    </xf>
    <xf numFmtId="0" fontId="13" fillId="0" borderId="90" xfId="0" applyFont="1" applyBorder="1"/>
    <xf numFmtId="0" fontId="33" fillId="0" borderId="102" xfId="0" applyFont="1" applyBorder="1" applyAlignment="1">
      <alignment horizontal="center"/>
    </xf>
    <xf numFmtId="0" fontId="13" fillId="0" borderId="57" xfId="0" applyFont="1" applyBorder="1" applyAlignment="1">
      <alignment horizontal="center"/>
    </xf>
    <xf numFmtId="170" fontId="0" fillId="0" borderId="57" xfId="1" applyFont="1" applyBorder="1" applyAlignment="1" applyProtection="1">
      <alignment horizontal="center"/>
      <protection locked="0"/>
    </xf>
    <xf numFmtId="170" fontId="0" fillId="0" borderId="56" xfId="1" applyFont="1" applyBorder="1" applyProtection="1">
      <protection locked="0"/>
    </xf>
    <xf numFmtId="170" fontId="0" fillId="0" borderId="57" xfId="1" applyFont="1" applyBorder="1" applyProtection="1">
      <protection locked="0"/>
    </xf>
    <xf numFmtId="170" fontId="0" fillId="0" borderId="58" xfId="1" applyFont="1" applyBorder="1" applyProtection="1">
      <protection locked="0"/>
    </xf>
    <xf numFmtId="170" fontId="0" fillId="0" borderId="69" xfId="1" applyFont="1" applyBorder="1" applyAlignment="1" applyProtection="1">
      <alignment horizontal="center"/>
      <protection locked="0"/>
    </xf>
    <xf numFmtId="170" fontId="0" fillId="0" borderId="70" xfId="1" applyFont="1" applyBorder="1" applyAlignment="1" applyProtection="1">
      <alignment horizontal="center"/>
      <protection locked="0"/>
    </xf>
    <xf numFmtId="170" fontId="0" fillId="0" borderId="56" xfId="1" applyFont="1" applyBorder="1" applyAlignment="1" applyProtection="1">
      <alignment horizontal="center"/>
    </xf>
    <xf numFmtId="170" fontId="0" fillId="0" borderId="58" xfId="1" applyFont="1" applyBorder="1" applyAlignment="1" applyProtection="1">
      <alignment horizontal="center"/>
    </xf>
    <xf numFmtId="0" fontId="4" fillId="17" borderId="42" xfId="0" applyFont="1" applyFill="1" applyBorder="1" applyAlignment="1">
      <alignment horizontal="center"/>
    </xf>
    <xf numFmtId="0" fontId="13" fillId="0" borderId="50" xfId="0" applyFont="1" applyBorder="1" applyAlignment="1">
      <alignment horizontal="center" wrapText="1"/>
    </xf>
    <xf numFmtId="0" fontId="13" fillId="0" borderId="51" xfId="0" applyFont="1" applyBorder="1" applyAlignment="1">
      <alignment horizontal="center" wrapText="1"/>
    </xf>
    <xf numFmtId="0" fontId="0" fillId="0" borderId="0" xfId="0" applyAlignment="1">
      <alignment vertical="center" wrapText="1"/>
    </xf>
    <xf numFmtId="178" fontId="0" fillId="0" borderId="0" xfId="0" applyNumberFormat="1" applyAlignment="1">
      <alignment horizontal="center"/>
    </xf>
    <xf numFmtId="0" fontId="37" fillId="0" borderId="0" xfId="0" applyFont="1"/>
    <xf numFmtId="1" fontId="0" fillId="0" borderId="0" xfId="0" applyNumberFormat="1" applyAlignment="1">
      <alignment horizontal="center"/>
    </xf>
    <xf numFmtId="0" fontId="13" fillId="0" borderId="0" xfId="0" applyFont="1" applyAlignment="1">
      <alignment horizontal="left"/>
    </xf>
    <xf numFmtId="9" fontId="0" fillId="0" borderId="0" xfId="0" applyNumberFormat="1"/>
    <xf numFmtId="178" fontId="0" fillId="0" borderId="41" xfId="0" applyNumberFormat="1" applyBorder="1" applyProtection="1">
      <protection locked="0"/>
    </xf>
    <xf numFmtId="0" fontId="0" fillId="22" borderId="0" xfId="0" applyFill="1"/>
    <xf numFmtId="166" fontId="0" fillId="22" borderId="56" xfId="2" applyFont="1" applyFill="1" applyBorder="1" applyAlignment="1" applyProtection="1">
      <alignment horizontal="center"/>
    </xf>
    <xf numFmtId="166" fontId="0" fillId="22" borderId="57" xfId="2" applyFont="1" applyFill="1" applyBorder="1" applyAlignment="1" applyProtection="1">
      <alignment horizontal="center"/>
    </xf>
    <xf numFmtId="166" fontId="0" fillId="22" borderId="58" xfId="2" applyFont="1" applyFill="1" applyBorder="1" applyAlignment="1" applyProtection="1">
      <alignment horizontal="center"/>
      <protection locked="0"/>
    </xf>
    <xf numFmtId="9" fontId="0" fillId="18" borderId="41" xfId="0" applyNumberFormat="1" applyFill="1" applyBorder="1" applyProtection="1">
      <protection locked="0"/>
    </xf>
    <xf numFmtId="184" fontId="0" fillId="0" borderId="0" xfId="0" applyNumberFormat="1"/>
    <xf numFmtId="0" fontId="0" fillId="0" borderId="103" xfId="0" applyBorder="1"/>
    <xf numFmtId="0" fontId="0" fillId="0" borderId="104" xfId="0" applyBorder="1"/>
    <xf numFmtId="0" fontId="0" fillId="0" borderId="105" xfId="0" applyBorder="1"/>
    <xf numFmtId="0" fontId="0" fillId="0" borderId="106" xfId="0" applyBorder="1"/>
    <xf numFmtId="0" fontId="0" fillId="0" borderId="107" xfId="0" applyBorder="1"/>
    <xf numFmtId="184" fontId="0" fillId="0" borderId="107" xfId="0" applyNumberFormat="1" applyBorder="1"/>
    <xf numFmtId="184" fontId="0" fillId="0" borderId="108" xfId="0" applyNumberFormat="1" applyBorder="1"/>
    <xf numFmtId="0" fontId="0" fillId="0" borderId="109" xfId="0" applyBorder="1"/>
    <xf numFmtId="184" fontId="0" fillId="0" borderId="110" xfId="0" applyNumberFormat="1" applyBorder="1"/>
    <xf numFmtId="0" fontId="0" fillId="0" borderId="111" xfId="0" applyBorder="1"/>
    <xf numFmtId="184" fontId="0" fillId="0" borderId="112" xfId="0" applyNumberFormat="1" applyBorder="1"/>
    <xf numFmtId="9" fontId="0" fillId="18" borderId="44" xfId="0" applyNumberFormat="1" applyFill="1" applyBorder="1" applyProtection="1">
      <protection locked="0"/>
    </xf>
    <xf numFmtId="0" fontId="26" fillId="0" borderId="60" xfId="0" applyFont="1" applyBorder="1"/>
    <xf numFmtId="0" fontId="26" fillId="0" borderId="64" xfId="0" applyFont="1" applyBorder="1"/>
    <xf numFmtId="166" fontId="0" fillId="0" borderId="58" xfId="2" applyFont="1" applyBorder="1" applyAlignment="1">
      <alignment horizontal="center"/>
    </xf>
    <xf numFmtId="43" fontId="0" fillId="0" borderId="0" xfId="0" applyNumberFormat="1"/>
    <xf numFmtId="181" fontId="0" fillId="0" borderId="58" xfId="3" applyNumberFormat="1" applyFont="1" applyBorder="1" applyAlignment="1" applyProtection="1">
      <alignment horizontal="center"/>
      <protection locked="0"/>
    </xf>
    <xf numFmtId="9" fontId="0" fillId="18" borderId="43" xfId="0" applyNumberFormat="1" applyFill="1" applyBorder="1" applyProtection="1">
      <protection locked="0"/>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wrapText="1"/>
    </xf>
    <xf numFmtId="166" fontId="13" fillId="0" borderId="113" xfId="2" applyFont="1" applyBorder="1" applyAlignment="1" applyProtection="1">
      <alignment horizontal="center"/>
    </xf>
    <xf numFmtId="166" fontId="13" fillId="0" borderId="114" xfId="2" applyFont="1" applyBorder="1" applyAlignment="1" applyProtection="1">
      <alignment horizontal="center"/>
      <protection locked="0"/>
    </xf>
    <xf numFmtId="166" fontId="13" fillId="0" borderId="115" xfId="2" applyFont="1" applyBorder="1" applyAlignment="1" applyProtection="1">
      <alignment horizontal="center"/>
      <protection locked="0"/>
    </xf>
    <xf numFmtId="14" fontId="26" fillId="0" borderId="60" xfId="0" applyNumberFormat="1" applyFont="1" applyBorder="1" applyAlignment="1">
      <alignment horizontal="left"/>
    </xf>
    <xf numFmtId="14" fontId="26" fillId="0" borderId="64" xfId="0" applyNumberFormat="1" applyFont="1" applyBorder="1" applyAlignment="1">
      <alignment horizontal="left"/>
    </xf>
    <xf numFmtId="166" fontId="38" fillId="0" borderId="0" xfId="2"/>
    <xf numFmtId="166" fontId="0" fillId="0" borderId="70" xfId="2" applyFont="1" applyBorder="1" applyAlignment="1" applyProtection="1">
      <alignment horizontal="center"/>
    </xf>
    <xf numFmtId="166" fontId="0" fillId="0" borderId="58" xfId="0" applyNumberFormat="1" applyBorder="1" applyProtection="1">
      <protection locked="0"/>
    </xf>
    <xf numFmtId="185" fontId="0" fillId="0" borderId="41" xfId="0" applyNumberFormat="1" applyBorder="1" applyProtection="1">
      <protection locked="0"/>
    </xf>
    <xf numFmtId="166" fontId="38" fillId="0" borderId="116" xfId="2" applyBorder="1"/>
    <xf numFmtId="0" fontId="13" fillId="0" borderId="85" xfId="0" applyFont="1" applyBorder="1" applyAlignment="1">
      <alignment horizontal="center"/>
    </xf>
    <xf numFmtId="0" fontId="13" fillId="0" borderId="117" xfId="0" applyFont="1" applyBorder="1" applyAlignment="1">
      <alignment horizontal="center"/>
    </xf>
    <xf numFmtId="0" fontId="13" fillId="0" borderId="118" xfId="0" applyFont="1" applyBorder="1" applyAlignment="1">
      <alignment horizontal="center"/>
    </xf>
    <xf numFmtId="166" fontId="0" fillId="19" borderId="119" xfId="2" applyFont="1" applyFill="1" applyBorder="1" applyAlignment="1" applyProtection="1">
      <alignment horizontal="center"/>
      <protection locked="0"/>
    </xf>
    <xf numFmtId="166" fontId="0" fillId="24" borderId="56" xfId="2" applyFont="1" applyFill="1" applyBorder="1" applyAlignment="1" applyProtection="1">
      <alignment horizontal="center"/>
      <protection locked="0"/>
    </xf>
    <xf numFmtId="2" fontId="0" fillId="0" borderId="41" xfId="0" applyNumberFormat="1" applyBorder="1" applyProtection="1">
      <protection locked="0"/>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left" vertical="center"/>
    </xf>
    <xf numFmtId="10" fontId="0" fillId="0" borderId="25" xfId="0" applyNumberFormat="1" applyBorder="1" applyAlignment="1">
      <alignment horizontal="center" vertical="center"/>
    </xf>
    <xf numFmtId="0" fontId="0" fillId="0" borderId="7" xfId="0" applyBorder="1" applyAlignment="1">
      <alignment horizontal="center" vertical="center"/>
    </xf>
    <xf numFmtId="172" fontId="0" fillId="0" borderId="120" xfId="0" applyNumberFormat="1" applyBorder="1" applyAlignment="1">
      <alignment horizontal="center" vertical="center"/>
    </xf>
    <xf numFmtId="0" fontId="13" fillId="0" borderId="0" xfId="0" applyFont="1" applyAlignment="1">
      <alignment vertical="center"/>
    </xf>
    <xf numFmtId="184" fontId="0" fillId="0" borderId="41" xfId="3" applyNumberFormat="1" applyFont="1" applyBorder="1" applyProtection="1">
      <protection locked="0"/>
    </xf>
    <xf numFmtId="184" fontId="0" fillId="0" borderId="25" xfId="0" applyNumberFormat="1" applyBorder="1" applyAlignment="1">
      <alignment horizontal="center" vertical="center"/>
    </xf>
    <xf numFmtId="6" fontId="0" fillId="0" borderId="0" xfId="0" applyNumberFormat="1" applyAlignment="1">
      <alignment horizontal="center"/>
    </xf>
    <xf numFmtId="166" fontId="38" fillId="0" borderId="103" xfId="2" applyBorder="1" applyProtection="1"/>
    <xf numFmtId="166" fontId="0" fillId="0" borderId="105" xfId="2" applyFont="1" applyBorder="1" applyProtection="1"/>
    <xf numFmtId="166" fontId="38" fillId="0" borderId="109" xfId="2" applyBorder="1" applyProtection="1"/>
    <xf numFmtId="166" fontId="0" fillId="0" borderId="110" xfId="2" applyFont="1" applyBorder="1" applyProtection="1"/>
    <xf numFmtId="166" fontId="38" fillId="0" borderId="106" xfId="2" applyBorder="1" applyProtection="1"/>
    <xf numFmtId="166" fontId="0" fillId="0" borderId="108" xfId="2" applyFont="1" applyBorder="1" applyProtection="1"/>
    <xf numFmtId="2" fontId="0" fillId="0" borderId="25" xfId="0" applyNumberFormat="1" applyBorder="1" applyAlignment="1">
      <alignment horizontal="center" vertical="center"/>
    </xf>
    <xf numFmtId="9" fontId="13" fillId="0" borderId="56" xfId="0" applyNumberFormat="1" applyFont="1" applyBorder="1" applyAlignment="1">
      <alignment horizontal="center"/>
    </xf>
    <xf numFmtId="0" fontId="0" fillId="0" borderId="0" xfId="0" applyAlignment="1">
      <alignment horizontal="center" vertical="center"/>
    </xf>
    <xf numFmtId="0" fontId="0" fillId="0" borderId="15" xfId="0" applyBorder="1" applyAlignment="1">
      <alignment horizontal="center" vertical="center"/>
    </xf>
    <xf numFmtId="0" fontId="15" fillId="12" borderId="15" xfId="0" applyFont="1" applyFill="1" applyBorder="1" applyAlignment="1">
      <alignment horizontal="center" vertical="center" wrapText="1"/>
    </xf>
    <xf numFmtId="0" fontId="0" fillId="0" borderId="3" xfId="0" applyBorder="1" applyAlignment="1">
      <alignment horizontal="left"/>
    </xf>
    <xf numFmtId="0" fontId="0" fillId="0" borderId="5" xfId="0" applyBorder="1" applyAlignment="1">
      <alignment horizontal="left"/>
    </xf>
    <xf numFmtId="0" fontId="0" fillId="0" borderId="7" xfId="0" applyBorder="1" applyAlignment="1">
      <alignment horizontal="left"/>
    </xf>
    <xf numFmtId="164" fontId="0" fillId="0" borderId="2" xfId="0" applyNumberFormat="1"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11" fillId="0" borderId="0" xfId="0" applyFont="1" applyAlignment="1">
      <alignment horizontal="left"/>
    </xf>
    <xf numFmtId="0" fontId="0" fillId="0" borderId="0" xfId="0" applyAlignment="1">
      <alignment horizontal="center"/>
    </xf>
    <xf numFmtId="0" fontId="0" fillId="0" borderId="15" xfId="0" applyBorder="1" applyAlignment="1">
      <alignment horizontal="center"/>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7" fillId="0" borderId="14" xfId="0" applyFont="1" applyBorder="1" applyAlignment="1">
      <alignment horizontal="center"/>
    </xf>
    <xf numFmtId="0" fontId="19" fillId="13" borderId="8" xfId="0" applyFont="1" applyFill="1" applyBorder="1" applyAlignment="1">
      <alignment horizontal="center" vertical="center" wrapText="1"/>
    </xf>
    <xf numFmtId="175" fontId="0" fillId="0" borderId="10" xfId="0" applyNumberFormat="1" applyBorder="1" applyAlignment="1">
      <alignment horizontal="center" vertical="center"/>
    </xf>
    <xf numFmtId="0" fontId="15" fillId="12" borderId="38"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0" fillId="0" borderId="16" xfId="0" applyBorder="1" applyAlignment="1">
      <alignment horizontal="center"/>
    </xf>
    <xf numFmtId="0" fontId="0" fillId="0" borderId="3" xfId="0" applyBorder="1" applyAlignment="1">
      <alignment horizontal="center"/>
    </xf>
    <xf numFmtId="0" fontId="15" fillId="12" borderId="31" xfId="0" applyFont="1" applyFill="1" applyBorder="1" applyAlignment="1">
      <alignment horizontal="center" vertical="center" wrapText="1"/>
    </xf>
    <xf numFmtId="0" fontId="13" fillId="0" borderId="60" xfId="0" applyFont="1" applyBorder="1" applyAlignment="1">
      <alignment horizontal="left"/>
    </xf>
    <xf numFmtId="0" fontId="13" fillId="0" borderId="69" xfId="0" applyFont="1" applyBorder="1" applyAlignment="1">
      <alignment horizontal="center"/>
    </xf>
    <xf numFmtId="0" fontId="13" fillId="0" borderId="70" xfId="0" applyFont="1" applyBorder="1" applyAlignment="1">
      <alignment horizontal="center"/>
    </xf>
    <xf numFmtId="0" fontId="4" fillId="17" borderId="42" xfId="0" applyFont="1" applyFill="1" applyBorder="1" applyAlignment="1">
      <alignment horizontal="center" vertical="center"/>
    </xf>
    <xf numFmtId="0" fontId="4" fillId="17" borderId="42" xfId="0" applyFont="1" applyFill="1" applyBorder="1" applyAlignment="1">
      <alignment horizontal="left" vertical="center" wrapText="1"/>
    </xf>
    <xf numFmtId="0" fontId="0" fillId="18" borderId="41" xfId="0" applyFill="1" applyBorder="1" applyAlignment="1" applyProtection="1">
      <alignment horizontal="left"/>
      <protection locked="0"/>
    </xf>
    <xf numFmtId="0" fontId="0" fillId="18" borderId="41" xfId="0" applyFill="1" applyBorder="1" applyAlignment="1" applyProtection="1">
      <alignment horizontal="center"/>
      <protection locked="0"/>
    </xf>
    <xf numFmtId="0" fontId="32" fillId="17" borderId="42" xfId="0" applyFont="1" applyFill="1" applyBorder="1" applyAlignment="1">
      <alignment horizontal="center"/>
    </xf>
    <xf numFmtId="0" fontId="1" fillId="17" borderId="42" xfId="0" applyFont="1" applyFill="1" applyBorder="1" applyAlignment="1">
      <alignment horizontal="left" vertical="center" wrapText="1"/>
    </xf>
    <xf numFmtId="0" fontId="4" fillId="17" borderId="42" xfId="0" applyFont="1" applyFill="1" applyBorder="1" applyAlignment="1">
      <alignment horizontal="left" vertical="center"/>
    </xf>
    <xf numFmtId="0" fontId="0" fillId="23" borderId="0" xfId="0" applyFill="1" applyAlignment="1">
      <alignment horizontal="center"/>
    </xf>
    <xf numFmtId="0" fontId="13" fillId="0" borderId="56" xfId="0" applyFont="1" applyBorder="1" applyAlignment="1">
      <alignment horizontal="center"/>
    </xf>
    <xf numFmtId="0" fontId="13" fillId="0" borderId="58" xfId="0" applyFont="1" applyBorder="1" applyAlignment="1">
      <alignment horizontal="center"/>
    </xf>
    <xf numFmtId="0" fontId="4" fillId="17" borderId="42" xfId="0" applyFont="1" applyFill="1" applyBorder="1" applyAlignment="1">
      <alignment horizontal="center"/>
    </xf>
    <xf numFmtId="184" fontId="0" fillId="0" borderId="41" xfId="3" applyNumberFormat="1" applyFont="1" applyBorder="1" applyAlignment="1" applyProtection="1">
      <alignment horizontal="center" vertical="center"/>
      <protection locked="0"/>
    </xf>
    <xf numFmtId="184" fontId="0" fillId="0" borderId="17" xfId="0" applyNumberFormat="1" applyBorder="1" applyAlignment="1">
      <alignment horizontal="center" vertical="center"/>
    </xf>
    <xf numFmtId="2" fontId="0" fillId="0" borderId="27" xfId="0" applyNumberFormat="1" applyBorder="1" applyAlignment="1">
      <alignment horizontal="center" vertical="center"/>
    </xf>
    <xf numFmtId="10" fontId="0" fillId="0" borderId="121" xfId="0" applyNumberFormat="1" applyBorder="1" applyAlignment="1">
      <alignment horizontal="center" vertical="center"/>
    </xf>
    <xf numFmtId="2" fontId="0" fillId="0" borderId="122" xfId="0" applyNumberFormat="1" applyBorder="1" applyAlignment="1">
      <alignment horizontal="center" vertical="center"/>
    </xf>
  </cellXfs>
  <cellStyles count="22">
    <cellStyle name="Accent 1 1" xfId="5" xr:uid="{00000000-0005-0000-0000-000006000000}"/>
    <cellStyle name="Accent 2 1" xfId="6" xr:uid="{00000000-0005-0000-0000-000007000000}"/>
    <cellStyle name="Accent 3 1" xfId="7" xr:uid="{00000000-0005-0000-0000-000008000000}"/>
    <cellStyle name="Accent 4" xfId="8" xr:uid="{00000000-0005-0000-0000-000009000000}"/>
    <cellStyle name="Bad 1" xfId="9" xr:uid="{00000000-0005-0000-0000-00000A000000}"/>
    <cellStyle name="Error 1" xfId="10" xr:uid="{00000000-0005-0000-0000-00000B000000}"/>
    <cellStyle name="Footnote 1" xfId="11" xr:uid="{00000000-0005-0000-0000-00000C000000}"/>
    <cellStyle name="Good 1" xfId="12" xr:uid="{00000000-0005-0000-0000-00000D000000}"/>
    <cellStyle name="Heading 1 1" xfId="13" xr:uid="{00000000-0005-0000-0000-00000E000000}"/>
    <cellStyle name="Heading 2 1" xfId="14" xr:uid="{00000000-0005-0000-0000-00000F000000}"/>
    <cellStyle name="Hipervínculo" xfId="4" builtinId="8"/>
    <cellStyle name="Millares" xfId="1" builtinId="3"/>
    <cellStyle name="Moneda" xfId="2" builtinId="4"/>
    <cellStyle name="Neutral 1" xfId="15" xr:uid="{00000000-0005-0000-0000-000010000000}"/>
    <cellStyle name="Normal" xfId="0" builtinId="0"/>
    <cellStyle name="Note 1" xfId="16" xr:uid="{00000000-0005-0000-0000-000011000000}"/>
    <cellStyle name="Porcentaje" xfId="3" builtinId="5"/>
    <cellStyle name="Sin título1" xfId="17" xr:uid="{00000000-0005-0000-0000-000012000000}"/>
    <cellStyle name="Sin título2" xfId="18" xr:uid="{00000000-0005-0000-0000-000013000000}"/>
    <cellStyle name="Status 1" xfId="19" xr:uid="{00000000-0005-0000-0000-000014000000}"/>
    <cellStyle name="Text 1" xfId="20" xr:uid="{00000000-0005-0000-0000-000015000000}"/>
    <cellStyle name="Warning 1" xfId="21" xr:uid="{00000000-0005-0000-0000-000016000000}"/>
  </cellStyles>
  <dxfs count="38">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
      <font>
        <b/>
        <i val="0"/>
        <color rgb="FFFFFFFF"/>
      </font>
      <fill>
        <patternFill>
          <bgColor rgb="FFED1C24"/>
        </patternFill>
      </fill>
    </dxf>
    <dxf>
      <font>
        <b/>
        <i val="0"/>
        <color rgb="FFFFFFFF"/>
      </font>
      <fill>
        <patternFill>
          <bgColor rgb="FF62A73B"/>
        </patternFill>
      </fill>
    </dxf>
  </dxfs>
  <tableStyles count="0" defaultTableStyle="TableStyleMedium2" defaultPivotStyle="PivotStyleLight16"/>
  <colors>
    <indexedColors>
      <rgbColor rgb="FF000000"/>
      <rgbColor rgb="FFFFFFFF"/>
      <rgbColor rgb="FFED1C24"/>
      <rgbColor rgb="FF00FF00"/>
      <rgbColor rgb="FF0000FF"/>
      <rgbColor rgb="FFFFFF00"/>
      <rgbColor rgb="FFFF1493"/>
      <rgbColor rgb="FF00FFFF"/>
      <rgbColor rgb="FFCC0000"/>
      <rgbColor rgb="FF006600"/>
      <rgbColor rgb="FF000080"/>
      <rgbColor rgb="FF996600"/>
      <rgbColor rgb="FF9900FF"/>
      <rgbColor rgb="FF008080"/>
      <rgbColor rgb="FFC0C0C0"/>
      <rgbColor rgb="FF808080"/>
      <rgbColor rgb="FF8FAADC"/>
      <rgbColor rgb="FF7030A0"/>
      <rgbColor rgb="FFFFFFCC"/>
      <rgbColor rgb="FFF8F9FA"/>
      <rgbColor rgb="FF660066"/>
      <rgbColor rgb="FFFF8080"/>
      <rgbColor rgb="FF0563C1"/>
      <rgbColor rgb="FFD0CECE"/>
      <rgbColor rgb="FF000080"/>
      <rgbColor rgb="FFFF00FF"/>
      <rgbColor rgb="FFFFF2CC"/>
      <rgbColor rgb="FF00FFFF"/>
      <rgbColor rgb="FF800080"/>
      <rgbColor rgb="FF800000"/>
      <rgbColor rgb="FF008080"/>
      <rgbColor rgb="FF0000FF"/>
      <rgbColor rgb="FF00CCFF"/>
      <rgbColor rgb="FFDDDDDD"/>
      <rgbColor rgb="FFCCFFCC"/>
      <rgbColor rgb="FFFFE699"/>
      <rgbColor rgb="FFA9D18E"/>
      <rgbColor rgb="FFD9D9D9"/>
      <rgbColor rgb="FFA2A9B1"/>
      <rgbColor rgb="FFFFCCCC"/>
      <rgbColor rgb="FF4472C4"/>
      <rgbColor rgb="FF33CCCC"/>
      <rgbColor rgb="FF99CC00"/>
      <rgbColor rgb="FFFFE598"/>
      <rgbColor rgb="FFFF9900"/>
      <rgbColor rgb="FFED7D31"/>
      <rgbColor rgb="FF595959"/>
      <rgbColor rgb="FFA5A5A5"/>
      <rgbColor rgb="FF003366"/>
      <rgbColor rgb="FF62A73B"/>
      <rgbColor rgb="FF003300"/>
      <rgbColor rgb="FF222222"/>
      <rgbColor rgb="FFFF420E"/>
      <rgbColor rgb="FF993366"/>
      <rgbColor rgb="FF3C3C3C"/>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es-AR" sz="1400" b="0" strike="noStrike" spc="-1">
                <a:solidFill>
                  <a:srgbClr val="595959"/>
                </a:solidFill>
                <a:latin typeface="Calibri"/>
              </a:defRPr>
            </a:pPr>
            <a:r>
              <a:rPr lang="es-AR" sz="1400" b="0" strike="noStrike" spc="-1">
                <a:solidFill>
                  <a:srgbClr val="595959"/>
                </a:solidFill>
                <a:latin typeface="Calibri"/>
              </a:rPr>
              <a:t>Punto de Equilibrio Año 1</a:t>
            </a:r>
          </a:p>
        </c:rich>
      </c:tx>
      <c:overlay val="0"/>
      <c:spPr>
        <a:noFill/>
        <a:ln w="0">
          <a:noFill/>
        </a:ln>
      </c:spPr>
    </c:title>
    <c:autoTitleDeleted val="0"/>
    <c:plotArea>
      <c:layout/>
      <c:lineChart>
        <c:grouping val="standard"/>
        <c:varyColors val="0"/>
        <c:ser>
          <c:idx val="0"/>
          <c:order val="0"/>
          <c:tx>
            <c:strRef>
              <c:f>'E-Costos'!$C$159</c:f>
              <c:strCache>
                <c:ptCount val="1"/>
                <c:pt idx="0">
                  <c:v>Ventas</c:v>
                </c:pt>
              </c:strCache>
            </c:strRef>
          </c:tx>
          <c:spPr>
            <a:ln w="28440" cap="rnd">
              <a:solidFill>
                <a:srgbClr val="4472C4"/>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'E-Costos'!$B$160:$B$180</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'E-Costos'!$C$160:$C$180</c:f>
              <c:numCache>
                <c:formatCode>_-* #,##0.00_-;\-* #,##0.00_-;_-* \-??_-;_-@</c:formatCode>
                <c:ptCount val="21"/>
                <c:pt idx="0">
                  <c:v>0</c:v>
                </c:pt>
                <c:pt idx="1">
                  <c:v>38605910</c:v>
                </c:pt>
                <c:pt idx="2">
                  <c:v>77211820</c:v>
                </c:pt>
                <c:pt idx="3">
                  <c:v>115817730</c:v>
                </c:pt>
                <c:pt idx="4">
                  <c:v>154423640</c:v>
                </c:pt>
                <c:pt idx="5">
                  <c:v>193029550</c:v>
                </c:pt>
                <c:pt idx="6">
                  <c:v>231635460</c:v>
                </c:pt>
                <c:pt idx="7">
                  <c:v>270241370</c:v>
                </c:pt>
                <c:pt idx="8">
                  <c:v>308847280</c:v>
                </c:pt>
                <c:pt idx="9">
                  <c:v>347453190</c:v>
                </c:pt>
                <c:pt idx="10">
                  <c:v>386059100</c:v>
                </c:pt>
                <c:pt idx="11">
                  <c:v>424665010.00000006</c:v>
                </c:pt>
                <c:pt idx="12">
                  <c:v>463270920</c:v>
                </c:pt>
                <c:pt idx="13">
                  <c:v>501876830</c:v>
                </c:pt>
                <c:pt idx="14">
                  <c:v>540482740</c:v>
                </c:pt>
                <c:pt idx="15">
                  <c:v>579088650</c:v>
                </c:pt>
                <c:pt idx="16">
                  <c:v>617694560</c:v>
                </c:pt>
                <c:pt idx="17">
                  <c:v>656300470</c:v>
                </c:pt>
                <c:pt idx="18">
                  <c:v>694906380</c:v>
                </c:pt>
                <c:pt idx="19">
                  <c:v>733512290</c:v>
                </c:pt>
                <c:pt idx="20">
                  <c:v>772118200</c:v>
                </c:pt>
              </c:numCache>
            </c:numRef>
          </c:val>
          <c:smooth val="0"/>
          <c:extLst>
            <c:ext xmlns:c16="http://schemas.microsoft.com/office/drawing/2014/chart" uri="{C3380CC4-5D6E-409C-BE32-E72D297353CC}">
              <c16:uniqueId val="{00000000-3A2B-46E2-9210-8701E58ADECA}"/>
            </c:ext>
          </c:extLst>
        </c:ser>
        <c:ser>
          <c:idx val="1"/>
          <c:order val="1"/>
          <c:tx>
            <c:strRef>
              <c:f>'E-Costos'!$D$159</c:f>
              <c:strCache>
                <c:ptCount val="1"/>
                <c:pt idx="0">
                  <c:v>Fijos</c:v>
                </c:pt>
              </c:strCache>
            </c:strRef>
          </c:tx>
          <c:spPr>
            <a:ln w="28440" cap="rnd">
              <a:solidFill>
                <a:srgbClr val="ED7D31"/>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'E-Costos'!$B$160:$B$180</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'E-Costos'!$D$160:$D$180</c:f>
              <c:numCache>
                <c:formatCode>_-* #,##0.00_-;\-* #,##0.00_-;_-* \-??_-;_-@</c:formatCode>
                <c:ptCount val="21"/>
                <c:pt idx="0">
                  <c:v>61598478.873849221</c:v>
                </c:pt>
                <c:pt idx="1">
                  <c:v>61598478.873849221</c:v>
                </c:pt>
                <c:pt idx="2">
                  <c:v>61598478.873849221</c:v>
                </c:pt>
                <c:pt idx="3">
                  <c:v>61598478.873849221</c:v>
                </c:pt>
                <c:pt idx="4">
                  <c:v>61598478.873849221</c:v>
                </c:pt>
                <c:pt idx="5">
                  <c:v>61598478.873849221</c:v>
                </c:pt>
                <c:pt idx="6">
                  <c:v>61598478.873849221</c:v>
                </c:pt>
                <c:pt idx="7">
                  <c:v>61598478.873849221</c:v>
                </c:pt>
                <c:pt idx="8">
                  <c:v>61598478.873849221</c:v>
                </c:pt>
                <c:pt idx="9">
                  <c:v>61598478.873849221</c:v>
                </c:pt>
                <c:pt idx="10">
                  <c:v>61598478.873849221</c:v>
                </c:pt>
                <c:pt idx="11">
                  <c:v>61598478.873849221</c:v>
                </c:pt>
                <c:pt idx="12">
                  <c:v>61598478.873849221</c:v>
                </c:pt>
                <c:pt idx="13">
                  <c:v>61598478.873849221</c:v>
                </c:pt>
                <c:pt idx="14">
                  <c:v>61598478.873849221</c:v>
                </c:pt>
                <c:pt idx="15">
                  <c:v>61598478.873849221</c:v>
                </c:pt>
                <c:pt idx="16">
                  <c:v>61598478.873849221</c:v>
                </c:pt>
                <c:pt idx="17">
                  <c:v>61598478.873849221</c:v>
                </c:pt>
                <c:pt idx="18">
                  <c:v>61598478.873849221</c:v>
                </c:pt>
                <c:pt idx="19">
                  <c:v>61598478.873849221</c:v>
                </c:pt>
                <c:pt idx="20">
                  <c:v>61598478.873849221</c:v>
                </c:pt>
              </c:numCache>
            </c:numRef>
          </c:val>
          <c:smooth val="0"/>
          <c:extLst>
            <c:ext xmlns:c16="http://schemas.microsoft.com/office/drawing/2014/chart" uri="{C3380CC4-5D6E-409C-BE32-E72D297353CC}">
              <c16:uniqueId val="{00000001-3A2B-46E2-9210-8701E58ADECA}"/>
            </c:ext>
          </c:extLst>
        </c:ser>
        <c:ser>
          <c:idx val="2"/>
          <c:order val="2"/>
          <c:tx>
            <c:strRef>
              <c:f>'E-Costos'!$F$159</c:f>
              <c:strCache>
                <c:ptCount val="1"/>
                <c:pt idx="0">
                  <c:v>Costos Totales</c:v>
                </c:pt>
              </c:strCache>
            </c:strRef>
          </c:tx>
          <c:spPr>
            <a:ln w="28440" cap="rnd">
              <a:solidFill>
                <a:srgbClr val="A5A5A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'E-Costos'!$B$160:$B$180</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'E-Costos'!$F$160:$F$180</c:f>
              <c:numCache>
                <c:formatCode>_-* #,##0.00_-;\-* #,##0.00_-;_-* \-??_-;_-@</c:formatCode>
                <c:ptCount val="21"/>
                <c:pt idx="0">
                  <c:v>61598478.873849221</c:v>
                </c:pt>
                <c:pt idx="1">
                  <c:v>85978293.110580266</c:v>
                </c:pt>
                <c:pt idx="2">
                  <c:v>110358107.34731132</c:v>
                </c:pt>
                <c:pt idx="3">
                  <c:v>134737921.58404237</c:v>
                </c:pt>
                <c:pt idx="4">
                  <c:v>159117735.82077342</c:v>
                </c:pt>
                <c:pt idx="5">
                  <c:v>183497550.05750448</c:v>
                </c:pt>
                <c:pt idx="6">
                  <c:v>207877364.2942355</c:v>
                </c:pt>
                <c:pt idx="7">
                  <c:v>232257178.53096655</c:v>
                </c:pt>
                <c:pt idx="8">
                  <c:v>256636992.76769763</c:v>
                </c:pt>
                <c:pt idx="9">
                  <c:v>281016807.00442868</c:v>
                </c:pt>
                <c:pt idx="10">
                  <c:v>305396621.24115974</c:v>
                </c:pt>
                <c:pt idx="11">
                  <c:v>329776435.47789079</c:v>
                </c:pt>
                <c:pt idx="12">
                  <c:v>354156249.71462178</c:v>
                </c:pt>
                <c:pt idx="13">
                  <c:v>378536063.95135289</c:v>
                </c:pt>
                <c:pt idx="14">
                  <c:v>402915878.18808389</c:v>
                </c:pt>
                <c:pt idx="15">
                  <c:v>427295692.42481494</c:v>
                </c:pt>
                <c:pt idx="16">
                  <c:v>451675506.66154605</c:v>
                </c:pt>
                <c:pt idx="17">
                  <c:v>476055320.89827704</c:v>
                </c:pt>
                <c:pt idx="18">
                  <c:v>500435135.1350081</c:v>
                </c:pt>
                <c:pt idx="19">
                  <c:v>524814949.37173915</c:v>
                </c:pt>
                <c:pt idx="20">
                  <c:v>549194763.6084702</c:v>
                </c:pt>
              </c:numCache>
            </c:numRef>
          </c:val>
          <c:smooth val="0"/>
          <c:extLst>
            <c:ext xmlns:c16="http://schemas.microsoft.com/office/drawing/2014/chart" uri="{C3380CC4-5D6E-409C-BE32-E72D297353CC}">
              <c16:uniqueId val="{00000002-3A2B-46E2-9210-8701E58ADECA}"/>
            </c:ext>
          </c:extLst>
        </c:ser>
        <c:dLbls>
          <c:showLegendKey val="0"/>
          <c:showVal val="0"/>
          <c:showCatName val="0"/>
          <c:showSerName val="0"/>
          <c:showPercent val="0"/>
          <c:showBubbleSize val="0"/>
        </c:dLbls>
        <c:hiLowLines>
          <c:spPr>
            <a:ln w="0">
              <a:noFill/>
            </a:ln>
          </c:spPr>
        </c:hiLowLines>
        <c:smooth val="0"/>
        <c:axId val="36033481"/>
        <c:axId val="23074252"/>
      </c:lineChart>
      <c:catAx>
        <c:axId val="36033481"/>
        <c:scaling>
          <c:orientation val="minMax"/>
        </c:scaling>
        <c:delete val="0"/>
        <c:axPos val="b"/>
        <c:numFmt formatCode="0%"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es-AR"/>
          </a:p>
        </c:txPr>
        <c:crossAx val="23074252"/>
        <c:crosses val="autoZero"/>
        <c:auto val="1"/>
        <c:lblAlgn val="ctr"/>
        <c:lblOffset val="100"/>
        <c:noMultiLvlLbl val="0"/>
      </c:catAx>
      <c:valAx>
        <c:axId val="23074252"/>
        <c:scaling>
          <c:orientation val="minMax"/>
        </c:scaling>
        <c:delete val="0"/>
        <c:axPos val="l"/>
        <c:majorGridlines>
          <c:spPr>
            <a:ln w="9360">
              <a:solidFill>
                <a:srgbClr val="D9D9D9"/>
              </a:solidFill>
              <a:round/>
            </a:ln>
          </c:spPr>
        </c:majorGridlines>
        <c:numFmt formatCode="_-* #,##0.00_-;\-* #,##0.00_-;_-* \-??_-;_-@"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AR"/>
          </a:p>
        </c:txPr>
        <c:crossAx val="36033481"/>
        <c:crosses val="autoZero"/>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es-A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es-AR" sz="1400" b="0" strike="noStrike" spc="-1">
                <a:solidFill>
                  <a:srgbClr val="595959"/>
                </a:solidFill>
                <a:latin typeface="Calibri"/>
              </a:defRPr>
            </a:pPr>
            <a:r>
              <a:rPr lang="es-AR" sz="1400" b="0" strike="noStrike" spc="-1">
                <a:solidFill>
                  <a:srgbClr val="595959"/>
                </a:solidFill>
                <a:latin typeface="Calibri"/>
              </a:rPr>
              <a:t>Punto de Equilibrio año 5</a:t>
            </a:r>
          </a:p>
        </c:rich>
      </c:tx>
      <c:overlay val="0"/>
      <c:spPr>
        <a:noFill/>
        <a:ln w="0">
          <a:noFill/>
        </a:ln>
      </c:spPr>
    </c:title>
    <c:autoTitleDeleted val="0"/>
    <c:plotArea>
      <c:layout/>
      <c:lineChart>
        <c:grouping val="standard"/>
        <c:varyColors val="0"/>
        <c:ser>
          <c:idx val="0"/>
          <c:order val="0"/>
          <c:tx>
            <c:strRef>
              <c:f>'E-Costos'!$C$183</c:f>
              <c:strCache>
                <c:ptCount val="1"/>
                <c:pt idx="0">
                  <c:v>Ventas</c:v>
                </c:pt>
              </c:strCache>
            </c:strRef>
          </c:tx>
          <c:spPr>
            <a:ln w="28440" cap="rnd">
              <a:solidFill>
                <a:srgbClr val="4472C4"/>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'E-Costos'!$B$184:$B$204</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'E-Costos'!$C$184:$C$204</c:f>
              <c:numCache>
                <c:formatCode>_-* #,##0.00_-;\-* #,##0.00_-;_-* \-??_-;_-@</c:formatCode>
                <c:ptCount val="21"/>
                <c:pt idx="0">
                  <c:v>0</c:v>
                </c:pt>
                <c:pt idx="1">
                  <c:v>53544960</c:v>
                </c:pt>
                <c:pt idx="2">
                  <c:v>107089920</c:v>
                </c:pt>
                <c:pt idx="3">
                  <c:v>160634880</c:v>
                </c:pt>
                <c:pt idx="4">
                  <c:v>214179840</c:v>
                </c:pt>
                <c:pt idx="5">
                  <c:v>267724800</c:v>
                </c:pt>
                <c:pt idx="6">
                  <c:v>321269760</c:v>
                </c:pt>
                <c:pt idx="7">
                  <c:v>374814720</c:v>
                </c:pt>
                <c:pt idx="8">
                  <c:v>428359680</c:v>
                </c:pt>
                <c:pt idx="9">
                  <c:v>481904640</c:v>
                </c:pt>
                <c:pt idx="10">
                  <c:v>535449600</c:v>
                </c:pt>
                <c:pt idx="11">
                  <c:v>588994560</c:v>
                </c:pt>
                <c:pt idx="12">
                  <c:v>642539520</c:v>
                </c:pt>
                <c:pt idx="13">
                  <c:v>696084480</c:v>
                </c:pt>
                <c:pt idx="14">
                  <c:v>749629440</c:v>
                </c:pt>
                <c:pt idx="15">
                  <c:v>803174400</c:v>
                </c:pt>
                <c:pt idx="16">
                  <c:v>856719360</c:v>
                </c:pt>
                <c:pt idx="17">
                  <c:v>910264320</c:v>
                </c:pt>
                <c:pt idx="18">
                  <c:v>963809280</c:v>
                </c:pt>
                <c:pt idx="19">
                  <c:v>1017354240</c:v>
                </c:pt>
                <c:pt idx="20">
                  <c:v>1070899200</c:v>
                </c:pt>
              </c:numCache>
            </c:numRef>
          </c:val>
          <c:smooth val="0"/>
          <c:extLst>
            <c:ext xmlns:c16="http://schemas.microsoft.com/office/drawing/2014/chart" uri="{C3380CC4-5D6E-409C-BE32-E72D297353CC}">
              <c16:uniqueId val="{00000000-418E-4FB2-BC89-E18538C4A2B5}"/>
            </c:ext>
          </c:extLst>
        </c:ser>
        <c:ser>
          <c:idx val="1"/>
          <c:order val="1"/>
          <c:tx>
            <c:strRef>
              <c:f>'E-Costos'!$D$183</c:f>
              <c:strCache>
                <c:ptCount val="1"/>
                <c:pt idx="0">
                  <c:v>Fijos</c:v>
                </c:pt>
              </c:strCache>
            </c:strRef>
          </c:tx>
          <c:spPr>
            <a:ln w="28440" cap="rnd">
              <a:solidFill>
                <a:srgbClr val="ED7D31"/>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'E-Costos'!$B$184:$B$204</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'E-Costos'!$D$184:$D$204</c:f>
              <c:numCache>
                <c:formatCode>_-* #,##0.00_-;\-* #,##0.00_-;_-* \-??_-;_-@</c:formatCode>
                <c:ptCount val="21"/>
                <c:pt idx="0">
                  <c:v>64815978.873849221</c:v>
                </c:pt>
                <c:pt idx="1">
                  <c:v>64815978.873849221</c:v>
                </c:pt>
                <c:pt idx="2">
                  <c:v>64815978.873849221</c:v>
                </c:pt>
                <c:pt idx="3">
                  <c:v>64815978.873849221</c:v>
                </c:pt>
                <c:pt idx="4">
                  <c:v>64815978.873849221</c:v>
                </c:pt>
                <c:pt idx="5">
                  <c:v>64815978.873849221</c:v>
                </c:pt>
                <c:pt idx="6">
                  <c:v>64815978.873849221</c:v>
                </c:pt>
                <c:pt idx="7">
                  <c:v>64815978.873849221</c:v>
                </c:pt>
                <c:pt idx="8">
                  <c:v>64815978.873849221</c:v>
                </c:pt>
                <c:pt idx="9">
                  <c:v>64815978.873849221</c:v>
                </c:pt>
                <c:pt idx="10">
                  <c:v>64815978.873849221</c:v>
                </c:pt>
                <c:pt idx="11">
                  <c:v>64815978.873849221</c:v>
                </c:pt>
                <c:pt idx="12">
                  <c:v>64815978.873849221</c:v>
                </c:pt>
                <c:pt idx="13">
                  <c:v>64815978.873849221</c:v>
                </c:pt>
                <c:pt idx="14">
                  <c:v>64815978.873849221</c:v>
                </c:pt>
                <c:pt idx="15">
                  <c:v>64815978.873849221</c:v>
                </c:pt>
                <c:pt idx="16">
                  <c:v>64815978.873849221</c:v>
                </c:pt>
                <c:pt idx="17">
                  <c:v>64815978.873849221</c:v>
                </c:pt>
                <c:pt idx="18">
                  <c:v>64815978.873849221</c:v>
                </c:pt>
                <c:pt idx="19">
                  <c:v>64815978.873849221</c:v>
                </c:pt>
                <c:pt idx="20">
                  <c:v>64815978.873849221</c:v>
                </c:pt>
              </c:numCache>
            </c:numRef>
          </c:val>
          <c:smooth val="0"/>
          <c:extLst>
            <c:ext xmlns:c16="http://schemas.microsoft.com/office/drawing/2014/chart" uri="{C3380CC4-5D6E-409C-BE32-E72D297353CC}">
              <c16:uniqueId val="{00000001-418E-4FB2-BC89-E18538C4A2B5}"/>
            </c:ext>
          </c:extLst>
        </c:ser>
        <c:ser>
          <c:idx val="2"/>
          <c:order val="2"/>
          <c:tx>
            <c:strRef>
              <c:f>'E-Costos'!$F$183</c:f>
              <c:strCache>
                <c:ptCount val="1"/>
                <c:pt idx="0">
                  <c:v>Costos Totales</c:v>
                </c:pt>
              </c:strCache>
            </c:strRef>
          </c:tx>
          <c:spPr>
            <a:ln w="28440" cap="rnd">
              <a:solidFill>
                <a:srgbClr val="A5A5A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'E-Costos'!$B$184:$B$204</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'E-Costos'!$F$184:$F$204</c:f>
              <c:numCache>
                <c:formatCode>_-* #,##0.00_-;\-* #,##0.00_-;_-* \-??_-;_-@</c:formatCode>
                <c:ptCount val="21"/>
                <c:pt idx="0">
                  <c:v>64815978.873849221</c:v>
                </c:pt>
                <c:pt idx="1">
                  <c:v>98503814.08344157</c:v>
                </c:pt>
                <c:pt idx="2">
                  <c:v>132191649.29303393</c:v>
                </c:pt>
                <c:pt idx="3">
                  <c:v>165879484.50262627</c:v>
                </c:pt>
                <c:pt idx="4">
                  <c:v>199567319.71221861</c:v>
                </c:pt>
                <c:pt idx="5">
                  <c:v>233255154.92181095</c:v>
                </c:pt>
                <c:pt idx="6">
                  <c:v>266942990.1314033</c:v>
                </c:pt>
                <c:pt idx="7">
                  <c:v>300630825.34099567</c:v>
                </c:pt>
                <c:pt idx="8">
                  <c:v>334318660.55058801</c:v>
                </c:pt>
                <c:pt idx="9">
                  <c:v>368006495.76018035</c:v>
                </c:pt>
                <c:pt idx="10">
                  <c:v>401694330.9697727</c:v>
                </c:pt>
                <c:pt idx="11">
                  <c:v>435382166.1793651</c:v>
                </c:pt>
                <c:pt idx="12">
                  <c:v>469070001.38895738</c:v>
                </c:pt>
                <c:pt idx="13">
                  <c:v>502757836.59854978</c:v>
                </c:pt>
                <c:pt idx="14">
                  <c:v>536445671.80814207</c:v>
                </c:pt>
                <c:pt idx="15">
                  <c:v>570133507.01773453</c:v>
                </c:pt>
                <c:pt idx="16">
                  <c:v>603821342.22732687</c:v>
                </c:pt>
                <c:pt idx="17">
                  <c:v>637509177.43691921</c:v>
                </c:pt>
                <c:pt idx="18">
                  <c:v>671197012.64651155</c:v>
                </c:pt>
                <c:pt idx="19">
                  <c:v>704884847.8561039</c:v>
                </c:pt>
                <c:pt idx="20">
                  <c:v>738572683.06569624</c:v>
                </c:pt>
              </c:numCache>
            </c:numRef>
          </c:val>
          <c:smooth val="0"/>
          <c:extLst>
            <c:ext xmlns:c16="http://schemas.microsoft.com/office/drawing/2014/chart" uri="{C3380CC4-5D6E-409C-BE32-E72D297353CC}">
              <c16:uniqueId val="{00000002-418E-4FB2-BC89-E18538C4A2B5}"/>
            </c:ext>
          </c:extLst>
        </c:ser>
        <c:dLbls>
          <c:showLegendKey val="0"/>
          <c:showVal val="0"/>
          <c:showCatName val="0"/>
          <c:showSerName val="0"/>
          <c:showPercent val="0"/>
          <c:showBubbleSize val="0"/>
        </c:dLbls>
        <c:hiLowLines>
          <c:spPr>
            <a:ln w="0">
              <a:noFill/>
            </a:ln>
          </c:spPr>
        </c:hiLowLines>
        <c:smooth val="0"/>
        <c:axId val="34373795"/>
        <c:axId val="42346806"/>
      </c:lineChart>
      <c:catAx>
        <c:axId val="34373795"/>
        <c:scaling>
          <c:orientation val="minMax"/>
        </c:scaling>
        <c:delete val="0"/>
        <c:axPos val="b"/>
        <c:numFmt formatCode="0%"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es-AR"/>
          </a:p>
        </c:txPr>
        <c:crossAx val="42346806"/>
        <c:crosses val="autoZero"/>
        <c:auto val="1"/>
        <c:lblAlgn val="ctr"/>
        <c:lblOffset val="100"/>
        <c:noMultiLvlLbl val="0"/>
      </c:catAx>
      <c:valAx>
        <c:axId val="42346806"/>
        <c:scaling>
          <c:orientation val="minMax"/>
        </c:scaling>
        <c:delete val="0"/>
        <c:axPos val="l"/>
        <c:majorGridlines>
          <c:spPr>
            <a:ln w="9360">
              <a:solidFill>
                <a:srgbClr val="D9D9D9"/>
              </a:solidFill>
              <a:round/>
            </a:ln>
          </c:spPr>
        </c:majorGridlines>
        <c:numFmt formatCode="_-* #,##0.00_-;\-* #,##0.00_-;_-* \-??_-;_-@"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AR"/>
          </a:p>
        </c:txPr>
        <c:crossAx val="34373795"/>
        <c:crosses val="autoZero"/>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es-A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lang="es-AR" sz="1400" b="0" strike="noStrike" spc="-1">
                <a:solidFill>
                  <a:srgbClr val="595959"/>
                </a:solidFill>
                <a:latin typeface="Calibri"/>
              </a:defRPr>
            </a:pPr>
            <a:r>
              <a:rPr lang="es-AR" sz="1400" b="0" strike="noStrike" spc="-1">
                <a:solidFill>
                  <a:srgbClr val="595959"/>
                </a:solidFill>
                <a:latin typeface="Calibri"/>
              </a:rPr>
              <a:t>Punto de Equilibrio Año 1 - Modificado</a:t>
            </a:r>
          </a:p>
        </c:rich>
      </c:tx>
      <c:overlay val="0"/>
      <c:spPr>
        <a:noFill/>
        <a:ln w="0">
          <a:noFill/>
        </a:ln>
      </c:spPr>
    </c:title>
    <c:autoTitleDeleted val="0"/>
    <c:plotArea>
      <c:layout/>
      <c:lineChart>
        <c:grouping val="standard"/>
        <c:varyColors val="0"/>
        <c:ser>
          <c:idx val="0"/>
          <c:order val="0"/>
          <c:tx>
            <c:strRef>
              <c:f>'F-2 Estructura'!$C$48</c:f>
              <c:strCache>
                <c:ptCount val="1"/>
                <c:pt idx="0">
                  <c:v>Ventas</c:v>
                </c:pt>
              </c:strCache>
            </c:strRef>
          </c:tx>
          <c:spPr>
            <a:ln w="28440" cap="rnd">
              <a:solidFill>
                <a:srgbClr val="4472C4"/>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'F-2 Estructura'!$B$49:$B$69</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'F-2 Estructura'!$C$49:$C$69</c:f>
              <c:numCache>
                <c:formatCode>_-* #,##0.00_-;\-* #,##0.00_-;_-* \-??_-;_-@</c:formatCode>
                <c:ptCount val="21"/>
                <c:pt idx="0">
                  <c:v>0</c:v>
                </c:pt>
                <c:pt idx="1">
                  <c:v>38605910</c:v>
                </c:pt>
                <c:pt idx="2">
                  <c:v>77211820</c:v>
                </c:pt>
                <c:pt idx="3">
                  <c:v>115817730</c:v>
                </c:pt>
                <c:pt idx="4">
                  <c:v>154423640</c:v>
                </c:pt>
                <c:pt idx="5">
                  <c:v>193029550</c:v>
                </c:pt>
                <c:pt idx="6">
                  <c:v>231635460</c:v>
                </c:pt>
                <c:pt idx="7">
                  <c:v>270241370</c:v>
                </c:pt>
                <c:pt idx="8">
                  <c:v>308847280</c:v>
                </c:pt>
                <c:pt idx="9">
                  <c:v>347453190</c:v>
                </c:pt>
                <c:pt idx="10">
                  <c:v>386059100</c:v>
                </c:pt>
                <c:pt idx="11">
                  <c:v>424665010.00000006</c:v>
                </c:pt>
                <c:pt idx="12">
                  <c:v>463270920</c:v>
                </c:pt>
                <c:pt idx="13">
                  <c:v>501876830</c:v>
                </c:pt>
                <c:pt idx="14">
                  <c:v>540482740</c:v>
                </c:pt>
                <c:pt idx="15">
                  <c:v>579088650</c:v>
                </c:pt>
                <c:pt idx="16">
                  <c:v>617694560</c:v>
                </c:pt>
                <c:pt idx="17">
                  <c:v>656300470</c:v>
                </c:pt>
                <c:pt idx="18">
                  <c:v>694906380</c:v>
                </c:pt>
                <c:pt idx="19">
                  <c:v>733512290</c:v>
                </c:pt>
                <c:pt idx="20">
                  <c:v>772118200</c:v>
                </c:pt>
              </c:numCache>
            </c:numRef>
          </c:val>
          <c:smooth val="0"/>
          <c:extLst>
            <c:ext xmlns:c16="http://schemas.microsoft.com/office/drawing/2014/chart" uri="{C3380CC4-5D6E-409C-BE32-E72D297353CC}">
              <c16:uniqueId val="{00000000-1968-4AC3-9DCD-0E1BF2E2F1E2}"/>
            </c:ext>
          </c:extLst>
        </c:ser>
        <c:ser>
          <c:idx val="1"/>
          <c:order val="1"/>
          <c:tx>
            <c:strRef>
              <c:f>'F-2 Estructura'!$D$48</c:f>
              <c:strCache>
                <c:ptCount val="1"/>
                <c:pt idx="0">
                  <c:v>Fijos</c:v>
                </c:pt>
              </c:strCache>
            </c:strRef>
          </c:tx>
          <c:spPr>
            <a:ln w="28440" cap="rnd">
              <a:solidFill>
                <a:srgbClr val="ED7D31"/>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'F-2 Estructura'!$B$49:$B$69</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'F-2 Estructura'!$D$49:$D$69</c:f>
              <c:numCache>
                <c:formatCode>_-* #,##0.00_-;\-* #,##0.00_-;_-* \-??_-;_-@</c:formatCode>
                <c:ptCount val="21"/>
                <c:pt idx="0">
                  <c:v>110815525.68885085</c:v>
                </c:pt>
                <c:pt idx="1">
                  <c:v>110815525.68885085</c:v>
                </c:pt>
                <c:pt idx="2">
                  <c:v>110815525.68885085</c:v>
                </c:pt>
                <c:pt idx="3">
                  <c:v>110815525.68885085</c:v>
                </c:pt>
                <c:pt idx="4">
                  <c:v>110815525.68885085</c:v>
                </c:pt>
                <c:pt idx="5">
                  <c:v>110815525.68885085</c:v>
                </c:pt>
                <c:pt idx="6">
                  <c:v>110815525.68885085</c:v>
                </c:pt>
                <c:pt idx="7">
                  <c:v>110815525.68885085</c:v>
                </c:pt>
                <c:pt idx="8">
                  <c:v>110815525.68885085</c:v>
                </c:pt>
                <c:pt idx="9">
                  <c:v>110815525.68885085</c:v>
                </c:pt>
                <c:pt idx="10">
                  <c:v>110815525.68885085</c:v>
                </c:pt>
                <c:pt idx="11">
                  <c:v>110815525.68885085</c:v>
                </c:pt>
                <c:pt idx="12">
                  <c:v>110815525.68885085</c:v>
                </c:pt>
                <c:pt idx="13">
                  <c:v>110815525.68885085</c:v>
                </c:pt>
                <c:pt idx="14">
                  <c:v>110815525.68885085</c:v>
                </c:pt>
                <c:pt idx="15">
                  <c:v>110815525.68885085</c:v>
                </c:pt>
                <c:pt idx="16">
                  <c:v>110815525.68885085</c:v>
                </c:pt>
                <c:pt idx="17">
                  <c:v>110815525.68885085</c:v>
                </c:pt>
                <c:pt idx="18">
                  <c:v>110815525.68885085</c:v>
                </c:pt>
                <c:pt idx="19">
                  <c:v>110815525.68885085</c:v>
                </c:pt>
                <c:pt idx="20">
                  <c:v>110815525.68885085</c:v>
                </c:pt>
              </c:numCache>
            </c:numRef>
          </c:val>
          <c:smooth val="0"/>
          <c:extLst>
            <c:ext xmlns:c16="http://schemas.microsoft.com/office/drawing/2014/chart" uri="{C3380CC4-5D6E-409C-BE32-E72D297353CC}">
              <c16:uniqueId val="{00000001-1968-4AC3-9DCD-0E1BF2E2F1E2}"/>
            </c:ext>
          </c:extLst>
        </c:ser>
        <c:ser>
          <c:idx val="2"/>
          <c:order val="2"/>
          <c:tx>
            <c:strRef>
              <c:f>'F-2 Estructura'!$F$48</c:f>
              <c:strCache>
                <c:ptCount val="1"/>
                <c:pt idx="0">
                  <c:v>Costos Totales</c:v>
                </c:pt>
              </c:strCache>
            </c:strRef>
          </c:tx>
          <c:spPr>
            <a:ln w="28440" cap="rnd">
              <a:solidFill>
                <a:srgbClr val="A5A5A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'F-2 Estructura'!$B$49:$B$69</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'F-2 Estructura'!$F$49:$F$69</c:f>
              <c:numCache>
                <c:formatCode>_-* #,##0.00_-;\-* #,##0.00_-;_-* \-??_-;_-@</c:formatCode>
                <c:ptCount val="21"/>
                <c:pt idx="0">
                  <c:v>110815525.68885085</c:v>
                </c:pt>
                <c:pt idx="1">
                  <c:v>135195339.9255819</c:v>
                </c:pt>
                <c:pt idx="2">
                  <c:v>159575154.16231295</c:v>
                </c:pt>
                <c:pt idx="3">
                  <c:v>183954968.39904398</c:v>
                </c:pt>
                <c:pt idx="4">
                  <c:v>208334782.63577506</c:v>
                </c:pt>
                <c:pt idx="5">
                  <c:v>232714596.87250608</c:v>
                </c:pt>
                <c:pt idx="6">
                  <c:v>257094411.10923713</c:v>
                </c:pt>
                <c:pt idx="7">
                  <c:v>281474225.34596819</c:v>
                </c:pt>
                <c:pt idx="8">
                  <c:v>305854039.5826993</c:v>
                </c:pt>
                <c:pt idx="9">
                  <c:v>330233853.81943029</c:v>
                </c:pt>
                <c:pt idx="10">
                  <c:v>354613668.05616134</c:v>
                </c:pt>
                <c:pt idx="11">
                  <c:v>378993482.29289246</c:v>
                </c:pt>
                <c:pt idx="12">
                  <c:v>403373296.52962339</c:v>
                </c:pt>
                <c:pt idx="13">
                  <c:v>427753110.76635456</c:v>
                </c:pt>
                <c:pt idx="14">
                  <c:v>452132925.00308549</c:v>
                </c:pt>
                <c:pt idx="15">
                  <c:v>476512739.23981655</c:v>
                </c:pt>
                <c:pt idx="16">
                  <c:v>500892553.47654772</c:v>
                </c:pt>
                <c:pt idx="17">
                  <c:v>525272367.71327865</c:v>
                </c:pt>
                <c:pt idx="18">
                  <c:v>549652181.9500097</c:v>
                </c:pt>
                <c:pt idx="19">
                  <c:v>574031996.18674076</c:v>
                </c:pt>
                <c:pt idx="20">
                  <c:v>598411810.42347181</c:v>
                </c:pt>
              </c:numCache>
            </c:numRef>
          </c:val>
          <c:smooth val="0"/>
          <c:extLst>
            <c:ext xmlns:c16="http://schemas.microsoft.com/office/drawing/2014/chart" uri="{C3380CC4-5D6E-409C-BE32-E72D297353CC}">
              <c16:uniqueId val="{00000002-1968-4AC3-9DCD-0E1BF2E2F1E2}"/>
            </c:ext>
          </c:extLst>
        </c:ser>
        <c:dLbls>
          <c:showLegendKey val="0"/>
          <c:showVal val="0"/>
          <c:showCatName val="0"/>
          <c:showSerName val="0"/>
          <c:showPercent val="0"/>
          <c:showBubbleSize val="0"/>
        </c:dLbls>
        <c:hiLowLines>
          <c:spPr>
            <a:ln w="0">
              <a:noFill/>
            </a:ln>
          </c:spPr>
        </c:hiLowLines>
        <c:smooth val="0"/>
        <c:axId val="36033481"/>
        <c:axId val="23074252"/>
      </c:lineChart>
      <c:catAx>
        <c:axId val="36033481"/>
        <c:scaling>
          <c:orientation val="minMax"/>
        </c:scaling>
        <c:delete val="0"/>
        <c:axPos val="b"/>
        <c:numFmt formatCode="0%"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es-AR"/>
          </a:p>
        </c:txPr>
        <c:crossAx val="23074252"/>
        <c:crosses val="autoZero"/>
        <c:auto val="1"/>
        <c:lblAlgn val="ctr"/>
        <c:lblOffset val="100"/>
        <c:noMultiLvlLbl val="0"/>
      </c:catAx>
      <c:valAx>
        <c:axId val="23074252"/>
        <c:scaling>
          <c:orientation val="minMax"/>
        </c:scaling>
        <c:delete val="0"/>
        <c:axPos val="l"/>
        <c:majorGridlines>
          <c:spPr>
            <a:ln w="9360">
              <a:solidFill>
                <a:srgbClr val="D9D9D9"/>
              </a:solidFill>
              <a:round/>
            </a:ln>
          </c:spPr>
        </c:majorGridlines>
        <c:numFmt formatCode="_-* #,##0.00_-;\-* #,##0.00_-;_-* \-??_-;_-@"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AR"/>
          </a:p>
        </c:txPr>
        <c:crossAx val="36033481"/>
        <c:crosses val="autoZero"/>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es-A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lang="es-AR" sz="1400" b="0" strike="noStrike" spc="-1">
                <a:solidFill>
                  <a:srgbClr val="595959"/>
                </a:solidFill>
                <a:latin typeface="Calibri"/>
              </a:defRPr>
            </a:pPr>
            <a:r>
              <a:rPr lang="es-AR" sz="1400" b="0" strike="noStrike" spc="-1">
                <a:solidFill>
                  <a:srgbClr val="595959"/>
                </a:solidFill>
                <a:latin typeface="Calibri"/>
              </a:rPr>
              <a:t>Punto de Equilibrio año 5 - Modificado</a:t>
            </a:r>
          </a:p>
        </c:rich>
      </c:tx>
      <c:overlay val="0"/>
      <c:spPr>
        <a:noFill/>
        <a:ln w="0">
          <a:noFill/>
        </a:ln>
      </c:spPr>
    </c:title>
    <c:autoTitleDeleted val="0"/>
    <c:plotArea>
      <c:layout/>
      <c:lineChart>
        <c:grouping val="standard"/>
        <c:varyColors val="0"/>
        <c:ser>
          <c:idx val="0"/>
          <c:order val="0"/>
          <c:tx>
            <c:strRef>
              <c:f>'F-2 Estructura'!$C$72</c:f>
              <c:strCache>
                <c:ptCount val="1"/>
                <c:pt idx="0">
                  <c:v>Ventas</c:v>
                </c:pt>
              </c:strCache>
            </c:strRef>
          </c:tx>
          <c:spPr>
            <a:ln w="28440" cap="rnd">
              <a:solidFill>
                <a:srgbClr val="4472C4"/>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'F-2 Estructura'!$B$73:$B$93</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'F-2 Estructura'!$C$73:$C$93</c:f>
              <c:numCache>
                <c:formatCode>_-* #,##0.00_-;\-* #,##0.00_-;_-* \-??_-;_-@</c:formatCode>
                <c:ptCount val="21"/>
                <c:pt idx="0">
                  <c:v>0</c:v>
                </c:pt>
                <c:pt idx="1">
                  <c:v>53544960</c:v>
                </c:pt>
                <c:pt idx="2">
                  <c:v>107089920</c:v>
                </c:pt>
                <c:pt idx="3">
                  <c:v>160634880</c:v>
                </c:pt>
                <c:pt idx="4">
                  <c:v>214179840</c:v>
                </c:pt>
                <c:pt idx="5">
                  <c:v>267724800</c:v>
                </c:pt>
                <c:pt idx="6">
                  <c:v>321269760</c:v>
                </c:pt>
                <c:pt idx="7">
                  <c:v>374814720</c:v>
                </c:pt>
                <c:pt idx="8">
                  <c:v>428359680</c:v>
                </c:pt>
                <c:pt idx="9">
                  <c:v>481904640</c:v>
                </c:pt>
                <c:pt idx="10">
                  <c:v>535449600</c:v>
                </c:pt>
                <c:pt idx="11">
                  <c:v>588994560</c:v>
                </c:pt>
                <c:pt idx="12">
                  <c:v>642539520</c:v>
                </c:pt>
                <c:pt idx="13">
                  <c:v>696084480</c:v>
                </c:pt>
                <c:pt idx="14">
                  <c:v>749629440</c:v>
                </c:pt>
                <c:pt idx="15">
                  <c:v>803174400</c:v>
                </c:pt>
                <c:pt idx="16">
                  <c:v>856719360</c:v>
                </c:pt>
                <c:pt idx="17">
                  <c:v>910264320</c:v>
                </c:pt>
                <c:pt idx="18">
                  <c:v>963809280</c:v>
                </c:pt>
                <c:pt idx="19">
                  <c:v>1017354240</c:v>
                </c:pt>
                <c:pt idx="20">
                  <c:v>1070899200</c:v>
                </c:pt>
              </c:numCache>
            </c:numRef>
          </c:val>
          <c:smooth val="0"/>
          <c:extLst>
            <c:ext xmlns:c16="http://schemas.microsoft.com/office/drawing/2014/chart" uri="{C3380CC4-5D6E-409C-BE32-E72D297353CC}">
              <c16:uniqueId val="{00000000-522D-408E-9D6A-0033BF91EE65}"/>
            </c:ext>
          </c:extLst>
        </c:ser>
        <c:ser>
          <c:idx val="1"/>
          <c:order val="1"/>
          <c:tx>
            <c:strRef>
              <c:f>'F-2 Estructura'!$D$72</c:f>
              <c:strCache>
                <c:ptCount val="1"/>
                <c:pt idx="0">
                  <c:v>Fijos</c:v>
                </c:pt>
              </c:strCache>
            </c:strRef>
          </c:tx>
          <c:spPr>
            <a:ln w="28440" cap="rnd">
              <a:solidFill>
                <a:srgbClr val="ED7D31"/>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'F-2 Estructura'!$B$73:$B$93</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'F-2 Estructura'!$D$73:$D$93</c:f>
              <c:numCache>
                <c:formatCode>_-* #,##0.00_-;\-* #,##0.00_-;_-* \-??_-;_-@</c:formatCode>
                <c:ptCount val="21"/>
                <c:pt idx="0">
                  <c:v>79648155.569250837</c:v>
                </c:pt>
                <c:pt idx="1">
                  <c:v>79648155.569250837</c:v>
                </c:pt>
                <c:pt idx="2">
                  <c:v>79648155.569250837</c:v>
                </c:pt>
                <c:pt idx="3">
                  <c:v>79648155.569250837</c:v>
                </c:pt>
                <c:pt idx="4">
                  <c:v>79648155.569250837</c:v>
                </c:pt>
                <c:pt idx="5">
                  <c:v>79648155.569250837</c:v>
                </c:pt>
                <c:pt idx="6">
                  <c:v>79648155.569250837</c:v>
                </c:pt>
                <c:pt idx="7">
                  <c:v>79648155.569250837</c:v>
                </c:pt>
                <c:pt idx="8">
                  <c:v>79648155.569250837</c:v>
                </c:pt>
                <c:pt idx="9">
                  <c:v>79648155.569250837</c:v>
                </c:pt>
                <c:pt idx="10">
                  <c:v>79648155.569250837</c:v>
                </c:pt>
                <c:pt idx="11">
                  <c:v>79648155.569250837</c:v>
                </c:pt>
                <c:pt idx="12">
                  <c:v>79648155.569250837</c:v>
                </c:pt>
                <c:pt idx="13">
                  <c:v>79648155.569250837</c:v>
                </c:pt>
                <c:pt idx="14">
                  <c:v>79648155.569250837</c:v>
                </c:pt>
                <c:pt idx="15">
                  <c:v>79648155.569250837</c:v>
                </c:pt>
                <c:pt idx="16">
                  <c:v>79648155.569250837</c:v>
                </c:pt>
                <c:pt idx="17">
                  <c:v>79648155.569250837</c:v>
                </c:pt>
                <c:pt idx="18">
                  <c:v>79648155.569250837</c:v>
                </c:pt>
                <c:pt idx="19">
                  <c:v>79648155.569250837</c:v>
                </c:pt>
                <c:pt idx="20">
                  <c:v>79648155.569250837</c:v>
                </c:pt>
              </c:numCache>
            </c:numRef>
          </c:val>
          <c:smooth val="0"/>
          <c:extLst>
            <c:ext xmlns:c16="http://schemas.microsoft.com/office/drawing/2014/chart" uri="{C3380CC4-5D6E-409C-BE32-E72D297353CC}">
              <c16:uniqueId val="{00000001-522D-408E-9D6A-0033BF91EE65}"/>
            </c:ext>
          </c:extLst>
        </c:ser>
        <c:ser>
          <c:idx val="2"/>
          <c:order val="2"/>
          <c:tx>
            <c:strRef>
              <c:f>'F-2 Estructura'!$F$72</c:f>
              <c:strCache>
                <c:ptCount val="1"/>
                <c:pt idx="0">
                  <c:v>Costos Totales</c:v>
                </c:pt>
              </c:strCache>
            </c:strRef>
          </c:tx>
          <c:spPr>
            <a:ln w="28440" cap="rnd">
              <a:solidFill>
                <a:srgbClr val="A5A5A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es-A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'F-2 Estructura'!$B$73:$B$93</c:f>
              <c:numCache>
                <c:formatCode>0\ %</c:formatCode>
                <c:ptCount val="21"/>
                <c:pt idx="0">
                  <c:v>0</c:v>
                </c:pt>
                <c:pt idx="1">
                  <c:v>0.05</c:v>
                </c:pt>
                <c:pt idx="2">
                  <c:v>0.1</c:v>
                </c:pt>
                <c:pt idx="3">
                  <c:v>0.15</c:v>
                </c:pt>
                <c:pt idx="4">
                  <c:v>0.2</c:v>
                </c:pt>
                <c:pt idx="5">
                  <c:v>0.25</c:v>
                </c:pt>
                <c:pt idx="6">
                  <c:v>0.3</c:v>
                </c:pt>
                <c:pt idx="7">
                  <c:v>0.35</c:v>
                </c:pt>
                <c:pt idx="8">
                  <c:v>0.4</c:v>
                </c:pt>
                <c:pt idx="9">
                  <c:v>0.45</c:v>
                </c:pt>
                <c:pt idx="10">
                  <c:v>0.5</c:v>
                </c:pt>
                <c:pt idx="11">
                  <c:v>0.55000000000000004</c:v>
                </c:pt>
                <c:pt idx="12">
                  <c:v>0.6</c:v>
                </c:pt>
                <c:pt idx="13">
                  <c:v>0.65</c:v>
                </c:pt>
                <c:pt idx="14">
                  <c:v>0.7</c:v>
                </c:pt>
                <c:pt idx="15">
                  <c:v>0.75</c:v>
                </c:pt>
                <c:pt idx="16">
                  <c:v>0.8</c:v>
                </c:pt>
                <c:pt idx="17">
                  <c:v>0.85</c:v>
                </c:pt>
                <c:pt idx="18">
                  <c:v>0.9</c:v>
                </c:pt>
                <c:pt idx="19">
                  <c:v>0.95</c:v>
                </c:pt>
                <c:pt idx="20">
                  <c:v>1</c:v>
                </c:pt>
              </c:numCache>
            </c:numRef>
          </c:cat>
          <c:val>
            <c:numRef>
              <c:f>'F-2 Estructura'!$F$73:$F$93</c:f>
              <c:numCache>
                <c:formatCode>_-* #,##0.00_-;\-* #,##0.00_-;_-* \-??_-;_-@</c:formatCode>
                <c:ptCount val="21"/>
                <c:pt idx="0">
                  <c:v>79648155.569250837</c:v>
                </c:pt>
                <c:pt idx="1">
                  <c:v>113335990.77884319</c:v>
                </c:pt>
                <c:pt idx="2">
                  <c:v>147023825.98843554</c:v>
                </c:pt>
                <c:pt idx="3">
                  <c:v>180711661.19802788</c:v>
                </c:pt>
                <c:pt idx="4">
                  <c:v>214399496.40762025</c:v>
                </c:pt>
                <c:pt idx="5">
                  <c:v>248087331.61721259</c:v>
                </c:pt>
                <c:pt idx="6">
                  <c:v>281775166.82680494</c:v>
                </c:pt>
                <c:pt idx="7">
                  <c:v>315463002.03639728</c:v>
                </c:pt>
                <c:pt idx="8">
                  <c:v>349150837.24598962</c:v>
                </c:pt>
                <c:pt idx="9">
                  <c:v>382838672.45558196</c:v>
                </c:pt>
                <c:pt idx="10">
                  <c:v>416526507.66517431</c:v>
                </c:pt>
                <c:pt idx="11">
                  <c:v>450214342.87476671</c:v>
                </c:pt>
                <c:pt idx="12">
                  <c:v>483902178.08435899</c:v>
                </c:pt>
                <c:pt idx="13">
                  <c:v>517590013.29395139</c:v>
                </c:pt>
                <c:pt idx="14">
                  <c:v>551277848.50354373</c:v>
                </c:pt>
                <c:pt idx="15">
                  <c:v>584965683.71313608</c:v>
                </c:pt>
                <c:pt idx="16">
                  <c:v>618653518.92272842</c:v>
                </c:pt>
                <c:pt idx="17">
                  <c:v>652341354.13232076</c:v>
                </c:pt>
                <c:pt idx="18">
                  <c:v>686029189.3419131</c:v>
                </c:pt>
                <c:pt idx="19">
                  <c:v>719717024.55150545</c:v>
                </c:pt>
                <c:pt idx="20">
                  <c:v>753404859.76109779</c:v>
                </c:pt>
              </c:numCache>
            </c:numRef>
          </c:val>
          <c:smooth val="0"/>
          <c:extLst>
            <c:ext xmlns:c16="http://schemas.microsoft.com/office/drawing/2014/chart" uri="{C3380CC4-5D6E-409C-BE32-E72D297353CC}">
              <c16:uniqueId val="{00000002-522D-408E-9D6A-0033BF91EE65}"/>
            </c:ext>
          </c:extLst>
        </c:ser>
        <c:dLbls>
          <c:showLegendKey val="0"/>
          <c:showVal val="0"/>
          <c:showCatName val="0"/>
          <c:showSerName val="0"/>
          <c:showPercent val="0"/>
          <c:showBubbleSize val="0"/>
        </c:dLbls>
        <c:hiLowLines>
          <c:spPr>
            <a:ln w="0">
              <a:noFill/>
            </a:ln>
          </c:spPr>
        </c:hiLowLines>
        <c:smooth val="0"/>
        <c:axId val="34373795"/>
        <c:axId val="42346806"/>
      </c:lineChart>
      <c:catAx>
        <c:axId val="34373795"/>
        <c:scaling>
          <c:orientation val="minMax"/>
        </c:scaling>
        <c:delete val="0"/>
        <c:axPos val="b"/>
        <c:numFmt formatCode="0%"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es-AR"/>
          </a:p>
        </c:txPr>
        <c:crossAx val="42346806"/>
        <c:crosses val="autoZero"/>
        <c:auto val="1"/>
        <c:lblAlgn val="ctr"/>
        <c:lblOffset val="100"/>
        <c:noMultiLvlLbl val="0"/>
      </c:catAx>
      <c:valAx>
        <c:axId val="42346806"/>
        <c:scaling>
          <c:orientation val="minMax"/>
        </c:scaling>
        <c:delete val="0"/>
        <c:axPos val="l"/>
        <c:majorGridlines>
          <c:spPr>
            <a:ln w="9360">
              <a:solidFill>
                <a:srgbClr val="D9D9D9"/>
              </a:solidFill>
              <a:round/>
            </a:ln>
          </c:spPr>
        </c:majorGridlines>
        <c:numFmt formatCode="_-* #,##0.00_-;\-* #,##0.00_-;_-* \-??_-;_-@" sourceLinked="0"/>
        <c:majorTickMark val="none"/>
        <c:minorTickMark val="none"/>
        <c:tickLblPos val="nextTo"/>
        <c:spPr>
          <a:ln w="6480">
            <a:noFill/>
          </a:ln>
        </c:spPr>
        <c:txPr>
          <a:bodyPr/>
          <a:lstStyle/>
          <a:p>
            <a:pPr>
              <a:defRPr sz="900" b="0" strike="noStrike" spc="-1">
                <a:solidFill>
                  <a:srgbClr val="595959"/>
                </a:solidFill>
                <a:latin typeface="Calibri"/>
              </a:defRPr>
            </a:pPr>
            <a:endParaRPr lang="es-AR"/>
          </a:p>
        </c:txPr>
        <c:crossAx val="34373795"/>
        <c:crosses val="autoZero"/>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es-A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10</xdr:col>
      <xdr:colOff>257040</xdr:colOff>
      <xdr:row>11</xdr:row>
      <xdr:rowOff>41760</xdr:rowOff>
    </xdr:from>
    <xdr:to>
      <xdr:col>16</xdr:col>
      <xdr:colOff>181800</xdr:colOff>
      <xdr:row>33</xdr:row>
      <xdr:rowOff>118800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344000" y="1946880"/>
          <a:ext cx="4771080" cy="37058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95400</xdr:colOff>
      <xdr:row>157</xdr:row>
      <xdr:rowOff>120600</xdr:rowOff>
    </xdr:from>
    <xdr:to>
      <xdr:col>13</xdr:col>
      <xdr:colOff>50760</xdr:colOff>
      <xdr:row>182</xdr:row>
      <xdr:rowOff>37800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95400</xdr:colOff>
      <xdr:row>182</xdr:row>
      <xdr:rowOff>82440</xdr:rowOff>
    </xdr:from>
    <xdr:to>
      <xdr:col>13</xdr:col>
      <xdr:colOff>63360</xdr:colOff>
      <xdr:row>205</xdr:row>
      <xdr:rowOff>101160</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545760</xdr:colOff>
      <xdr:row>160</xdr:row>
      <xdr:rowOff>75960</xdr:rowOff>
    </xdr:from>
    <xdr:to>
      <xdr:col>12</xdr:col>
      <xdr:colOff>545760</xdr:colOff>
      <xdr:row>178</xdr:row>
      <xdr:rowOff>12600</xdr:rowOff>
    </xdr:to>
    <xdr:sp macro="" textlink="">
      <xdr:nvSpPr>
        <xdr:cNvPr id="4" name="Conector recto 4">
          <a:extLst>
            <a:ext uri="{FF2B5EF4-FFF2-40B4-BE49-F238E27FC236}">
              <a16:creationId xmlns:a16="http://schemas.microsoft.com/office/drawing/2014/main" id="{00000000-0008-0000-0500-000004000000}"/>
            </a:ext>
          </a:extLst>
        </xdr:cNvPr>
        <xdr:cNvSpPr/>
      </xdr:nvSpPr>
      <xdr:spPr>
        <a:xfrm>
          <a:off x="16052400" y="26136360"/>
          <a:ext cx="0" cy="2851200"/>
        </a:xfrm>
        <a:prstGeom prst="line">
          <a:avLst/>
        </a:prstGeom>
        <a:ln>
          <a:solidFill>
            <a:srgbClr val="4472C4"/>
          </a:solidFill>
        </a:ln>
      </xdr:spPr>
      <xdr:style>
        <a:lnRef idx="1">
          <a:schemeClr val="accent1"/>
        </a:lnRef>
        <a:fillRef idx="0">
          <a:schemeClr val="accent1"/>
        </a:fillRef>
        <a:effectRef idx="0">
          <a:schemeClr val="accent1"/>
        </a:effectRef>
        <a:fontRef idx="minor"/>
      </xdr:style>
    </xdr:sp>
    <xdr:clientData/>
  </xdr:twoCellAnchor>
  <xdr:twoCellAnchor>
    <xdr:from>
      <xdr:col>12</xdr:col>
      <xdr:colOff>558720</xdr:colOff>
      <xdr:row>184</xdr:row>
      <xdr:rowOff>50760</xdr:rowOff>
    </xdr:from>
    <xdr:to>
      <xdr:col>12</xdr:col>
      <xdr:colOff>558720</xdr:colOff>
      <xdr:row>201</xdr:row>
      <xdr:rowOff>152280</xdr:rowOff>
    </xdr:to>
    <xdr:sp macro="" textlink="">
      <xdr:nvSpPr>
        <xdr:cNvPr id="5" name="Conector recto 7">
          <a:extLst>
            <a:ext uri="{FF2B5EF4-FFF2-40B4-BE49-F238E27FC236}">
              <a16:creationId xmlns:a16="http://schemas.microsoft.com/office/drawing/2014/main" id="{00000000-0008-0000-0500-000005000000}"/>
            </a:ext>
          </a:extLst>
        </xdr:cNvPr>
        <xdr:cNvSpPr/>
      </xdr:nvSpPr>
      <xdr:spPr>
        <a:xfrm>
          <a:off x="16065360" y="30044880"/>
          <a:ext cx="0" cy="2854440"/>
        </a:xfrm>
        <a:prstGeom prst="line">
          <a:avLst/>
        </a:prstGeom>
        <a:ln>
          <a:solidFill>
            <a:srgbClr val="4472C4"/>
          </a:solidFill>
        </a:ln>
      </xdr:spPr>
      <xdr:style>
        <a:lnRef idx="1">
          <a:schemeClr val="accent1"/>
        </a:lnRef>
        <a:fillRef idx="0">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95400</xdr:colOff>
      <xdr:row>46</xdr:row>
      <xdr:rowOff>120600</xdr:rowOff>
    </xdr:from>
    <xdr:to>
      <xdr:col>13</xdr:col>
      <xdr:colOff>248880</xdr:colOff>
      <xdr:row>71</xdr:row>
      <xdr:rowOff>53040</xdr:rowOff>
    </xdr:to>
    <xdr:graphicFrame macro="">
      <xdr:nvGraphicFramePr>
        <xdr:cNvPr id="2" name="Gráfico 1">
          <a:extLst>
            <a:ext uri="{FF2B5EF4-FFF2-40B4-BE49-F238E27FC236}">
              <a16:creationId xmlns:a16="http://schemas.microsoft.com/office/drawing/2014/main" id="{067C6573-15DA-4028-B3F7-5285BE935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95400</xdr:colOff>
      <xdr:row>71</xdr:row>
      <xdr:rowOff>82440</xdr:rowOff>
    </xdr:from>
    <xdr:to>
      <xdr:col>13</xdr:col>
      <xdr:colOff>261480</xdr:colOff>
      <xdr:row>94</xdr:row>
      <xdr:rowOff>101159</xdr:rowOff>
    </xdr:to>
    <xdr:graphicFrame macro="">
      <xdr:nvGraphicFramePr>
        <xdr:cNvPr id="3" name="Gráfico 2">
          <a:extLst>
            <a:ext uri="{FF2B5EF4-FFF2-40B4-BE49-F238E27FC236}">
              <a16:creationId xmlns:a16="http://schemas.microsoft.com/office/drawing/2014/main" id="{16E31457-7970-4066-9069-9B475AEFB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545760</xdr:colOff>
      <xdr:row>49</xdr:row>
      <xdr:rowOff>75960</xdr:rowOff>
    </xdr:from>
    <xdr:to>
      <xdr:col>12</xdr:col>
      <xdr:colOff>545760</xdr:colOff>
      <xdr:row>67</xdr:row>
      <xdr:rowOff>12600</xdr:rowOff>
    </xdr:to>
    <xdr:sp macro="" textlink="">
      <xdr:nvSpPr>
        <xdr:cNvPr id="4" name="Conector recto 4">
          <a:extLst>
            <a:ext uri="{FF2B5EF4-FFF2-40B4-BE49-F238E27FC236}">
              <a16:creationId xmlns:a16="http://schemas.microsoft.com/office/drawing/2014/main" id="{3799B9B2-46DF-4BEB-93F0-CEAB71578631}"/>
            </a:ext>
          </a:extLst>
        </xdr:cNvPr>
        <xdr:cNvSpPr/>
      </xdr:nvSpPr>
      <xdr:spPr>
        <a:xfrm>
          <a:off x="16662060" y="26966940"/>
          <a:ext cx="0" cy="2954160"/>
        </a:xfrm>
        <a:prstGeom prst="line">
          <a:avLst/>
        </a:prstGeom>
        <a:ln>
          <a:solidFill>
            <a:srgbClr val="4472C4"/>
          </a:solidFill>
        </a:ln>
      </xdr:spPr>
      <xdr:style>
        <a:lnRef idx="1">
          <a:schemeClr val="accent1"/>
        </a:lnRef>
        <a:fillRef idx="0">
          <a:schemeClr val="accent1"/>
        </a:fillRef>
        <a:effectRef idx="0">
          <a:schemeClr val="accent1"/>
        </a:effectRef>
        <a:fontRef idx="minor"/>
      </xdr:style>
    </xdr:sp>
    <xdr:clientData/>
  </xdr:twoCellAnchor>
  <xdr:twoCellAnchor>
    <xdr:from>
      <xdr:col>12</xdr:col>
      <xdr:colOff>558720</xdr:colOff>
      <xdr:row>73</xdr:row>
      <xdr:rowOff>50760</xdr:rowOff>
    </xdr:from>
    <xdr:to>
      <xdr:col>12</xdr:col>
      <xdr:colOff>558720</xdr:colOff>
      <xdr:row>90</xdr:row>
      <xdr:rowOff>152280</xdr:rowOff>
    </xdr:to>
    <xdr:sp macro="" textlink="">
      <xdr:nvSpPr>
        <xdr:cNvPr id="5" name="Conector recto 7">
          <a:extLst>
            <a:ext uri="{FF2B5EF4-FFF2-40B4-BE49-F238E27FC236}">
              <a16:creationId xmlns:a16="http://schemas.microsoft.com/office/drawing/2014/main" id="{AD77BF19-14CB-465E-9A01-B2B87528EB23}"/>
            </a:ext>
          </a:extLst>
        </xdr:cNvPr>
        <xdr:cNvSpPr/>
      </xdr:nvSpPr>
      <xdr:spPr>
        <a:xfrm>
          <a:off x="16675020" y="30972720"/>
          <a:ext cx="0" cy="2951400"/>
        </a:xfrm>
        <a:prstGeom prst="line">
          <a:avLst/>
        </a:prstGeom>
        <a:ln>
          <a:solidFill>
            <a:srgbClr val="4472C4"/>
          </a:solidFill>
        </a:ln>
      </xdr:spPr>
      <xdr:style>
        <a:lnRef idx="1">
          <a:schemeClr val="accent1"/>
        </a:lnRef>
        <a:fillRef idx="0">
          <a:schemeClr val="accent1"/>
        </a:fillRef>
        <a:effectRef idx="0">
          <a:schemeClr val="accent1"/>
        </a:effectRef>
        <a:fontRef idx="minor"/>
      </xdr:style>
      <xdr:txBody>
        <a:bodyPr/>
        <a:lstStyle/>
        <a:p>
          <a:endParaRPr lang="es-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xdr:row>
      <xdr:rowOff>152400</xdr:rowOff>
    </xdr:from>
    <xdr:to>
      <xdr:col>14</xdr:col>
      <xdr:colOff>0</xdr:colOff>
      <xdr:row>12</xdr:row>
      <xdr:rowOff>9525</xdr:rowOff>
    </xdr:to>
    <xdr:sp macro="" textlink="">
      <xdr:nvSpPr>
        <xdr:cNvPr id="3" name="CuadroTexto 2">
          <a:extLst>
            <a:ext uri="{FF2B5EF4-FFF2-40B4-BE49-F238E27FC236}">
              <a16:creationId xmlns:a16="http://schemas.microsoft.com/office/drawing/2014/main" id="{399FB77A-8F4C-4761-8AC3-ECB330AF7733}"/>
            </a:ext>
            <a:ext uri="{147F2762-F138-4A5C-976F-8EAC2B608ADB}">
              <a16:predDERef xmlns:a16="http://schemas.microsoft.com/office/drawing/2014/main" pred="{61A7C520-FBB2-4ED1-A644-0310934B094D}"/>
            </a:ext>
          </a:extLst>
        </xdr:cNvPr>
        <xdr:cNvSpPr txBox="1"/>
      </xdr:nvSpPr>
      <xdr:spPr>
        <a:xfrm>
          <a:off x="6410325" y="3876675"/>
          <a:ext cx="5334000" cy="150495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000">
              <a:latin typeface="+mn-lt"/>
              <a:ea typeface="+mn-lt"/>
              <a:cs typeface="+mn-lt"/>
            </a:rPr>
            <a:t>La demanda del rubro alimentos es prácticamente inelástica. Es decir, ante un escenario de pandemia, donde otros rubros pueden tener bajas improntates en las ventas, nuestro rubro se ve poco afectado, es por esto que consideramos para este análisis una baja de solo el 5% de las ventas. Y en definitiva lo mismo sucede con la producción (considerando que el rubo "producción de alimentos" es fundamental). Ante este escenario, y teniendo en cuenta una disminusión del 50% de los sueldos, nuestros indicadores terminan siendo aún mejores. De esta manera podríamos tomar como política de "Responsabildiad Social Empresaria" una disminusión menor de los sueldos, para que nuestros empleado no se vean tan afectados. </a:t>
          </a:r>
        </a:p>
      </xdr:txBody>
    </xdr:sp>
    <xdr:clientData/>
  </xdr:twoCellAnchor>
</xdr:wsDr>
</file>

<file path=xl/persons/person.xml><?xml version="1.0" encoding="utf-8"?>
<personList xmlns="http://schemas.microsoft.com/office/spreadsheetml/2018/threadedcomments" xmlns:x="http://schemas.openxmlformats.org/spreadsheetml/2006/main">
  <person displayName="Juan Ignacio Güemes Terzibachian" id="{DB831891-410E-48EE-9E9F-6C8E3A87648E}" userId="33720cfeb229280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2-10-25T23:29:27.84" personId="{DB831891-410E-48EE-9E9F-6C8E3A87648E}" id="{129B9F2C-9A57-4C63-804F-807C5CFE9F12}">
    <text>Se modificó considerando un 20% del año 1</text>
  </threadedComment>
  <threadedComment ref="C14" dT="2022-10-25T23:30:20.73" personId="{DB831891-410E-48EE-9E9F-6C8E3A87648E}" id="{17AFB759-4CD9-4221-86CD-3982153223D6}">
    <text>Según el balance planteado en el Dim. Técnico este valor esta OK. Se debe al tipo de proceso productivo y al stock promedio.</text>
  </threadedComment>
  <threadedComment ref="E15" dT="2022-10-25T23:30:38.49" personId="{DB831891-410E-48EE-9E9F-6C8E3A87648E}" id="{8423993C-20C0-4896-8D0F-EC65BFB4C302}">
    <text>Modificado, luego da nulo por incrementos.</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rolidar.com/margarinas-c-blanca/" TargetMode="External"/><Relationship Id="rId7" Type="http://schemas.openxmlformats.org/officeDocument/2006/relationships/vmlDrawing" Target="../drawings/vmlDrawing1.vml"/><Relationship Id="rId2" Type="http://schemas.openxmlformats.org/officeDocument/2006/relationships/hyperlink" Target="https://santana.com.ar/es/3/productos-por-ingrediente.html" TargetMode="External"/><Relationship Id="rId1" Type="http://schemas.openxmlformats.org/officeDocument/2006/relationships/hyperlink" Target="http://www.lagomarsino.com.ar/es/productos/harinas.php" TargetMode="External"/><Relationship Id="rId6" Type="http://schemas.openxmlformats.org/officeDocument/2006/relationships/drawing" Target="../drawings/drawing1.xml"/><Relationship Id="rId5" Type="http://schemas.openxmlformats.org/officeDocument/2006/relationships/hyperlink" Target="https://ronalflexsrl.com.ar/laminas-de-polietileno-para-envasado-automatico/" TargetMode="External"/><Relationship Id="rId4" Type="http://schemas.openxmlformats.org/officeDocument/2006/relationships/hyperlink" Target="https://recasal.co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olidar.com/margarinas-c-blanca/" TargetMode="External"/><Relationship Id="rId2" Type="http://schemas.openxmlformats.org/officeDocument/2006/relationships/hyperlink" Target="https://santana.com.ar/es/3/productos-por-ingrediente.html" TargetMode="External"/><Relationship Id="rId1" Type="http://schemas.openxmlformats.org/officeDocument/2006/relationships/hyperlink" Target="http://www.lagomarsino.com.ar/es/productos/harinas.php" TargetMode="External"/><Relationship Id="rId5" Type="http://schemas.openxmlformats.org/officeDocument/2006/relationships/hyperlink" Target="https://ronalflexsrl.com.ar/laminas-de-polietileno-para-envasado-automatico/" TargetMode="External"/><Relationship Id="rId4" Type="http://schemas.openxmlformats.org/officeDocument/2006/relationships/hyperlink" Target="https://recasa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rticulo.mercadolibre.com.ar/MLA-803423981-panel-incendio-inim-in2004-20-detector-4-pulsador-4-sirena-_JM" TargetMode="External"/><Relationship Id="rId13" Type="http://schemas.openxmlformats.org/officeDocument/2006/relationships/hyperlink" Target="https://articulo.mercadolibre.com.ar/MLA-842413212-dispenser-de-agua-caliente-y-fresca-conexion-a-red-_JM?searchVariation=88991416006" TargetMode="External"/><Relationship Id="rId18" Type="http://schemas.openxmlformats.org/officeDocument/2006/relationships/hyperlink" Target="https://articulo.mercadolibre.com.ar/MLA-858573288-ficheros-metalicos-archiveros-blancos-4-cajones-ccerradura-_JM?searchVariation=56919293610" TargetMode="External"/><Relationship Id="rId26" Type="http://schemas.openxmlformats.org/officeDocument/2006/relationships/hyperlink" Target="https://www.mercadolibre.com.ar/smart-tv-philips-7000-series-55pud740677-led-4k-55-110v240v/p/MLA18647649?pdp_filters=category:MLA1002" TargetMode="External"/><Relationship Id="rId3" Type="http://schemas.openxmlformats.org/officeDocument/2006/relationships/hyperlink" Target="https://articulo.mercadolibre.com.ar/MLA-1126952940-zorra-hidraulica-2-ton-lusqtoff-p-pallet-520x1150mm-manual-_JM" TargetMode="External"/><Relationship Id="rId21" Type="http://schemas.openxmlformats.org/officeDocument/2006/relationships/hyperlink" Target="https://www.mercadolibre.com.ar/switch-tp-link-tl-sg1008mp/p/MLA15566983?pdp_filters=item_id:MLA1153610584" TargetMode="External"/><Relationship Id="rId34" Type="http://schemas.openxmlformats.org/officeDocument/2006/relationships/hyperlink" Target="https://recasal.com/" TargetMode="External"/><Relationship Id="rId7" Type="http://schemas.openxmlformats.org/officeDocument/2006/relationships/hyperlink" Target="https://articulo.mercadolibre.com.ar/MLA-1116769514-zorra-electrica-litio-heli-cbd20j-li2-2000-kg-685cm-bateria-_JM" TargetMode="External"/><Relationship Id="rId12" Type="http://schemas.openxmlformats.org/officeDocument/2006/relationships/hyperlink" Target="https://articulo.mercadolibre.com.ar/MLA-876685505-cesto-residuos-reciclado-55-lts-tapa-plana-x-2u-colombraro-_JM?searchVariation=63307644505" TargetMode="External"/><Relationship Id="rId17" Type="http://schemas.openxmlformats.org/officeDocument/2006/relationships/hyperlink" Target="https://www.mercadolibre.com.ar/aire-acondicionado-bgh-silent-air-split-friocalor-3000-frigorias-blanco-220v-bs35wccr/p/MLA15236638?pdp_filters=category:MLA1644" TargetMode="External"/><Relationship Id="rId25" Type="http://schemas.openxmlformats.org/officeDocument/2006/relationships/hyperlink" Target="https://www.mercadolibre.com.ar/silla-de-comedor-rossi-rio-estructura-color-negro-1-unidad/p/MLA18961409?pdp_filters=category:MLA436389" TargetMode="External"/><Relationship Id="rId33" Type="http://schemas.openxmlformats.org/officeDocument/2006/relationships/hyperlink" Target="https://www.rolidar.com/margarinas-c-blanca/" TargetMode="External"/><Relationship Id="rId2" Type="http://schemas.openxmlformats.org/officeDocument/2006/relationships/hyperlink" Target="https://agente-seguro.com/categoria-producto/" TargetMode="External"/><Relationship Id="rId16" Type="http://schemas.openxmlformats.org/officeDocument/2006/relationships/hyperlink" Target="https://articulo.mercadolibre.com.ar/MLA-896782289-saeco-lirika-otc-modelo-2020-1-kg-cafe-bonafide-de-regalo-_JM?searchVariation=67935743128" TargetMode="External"/><Relationship Id="rId20" Type="http://schemas.openxmlformats.org/officeDocument/2006/relationships/hyperlink" Target="https://articulo.mercadolibre.com.ar/MLA-706670649-telefono-digital-kx-dt543-panasonic-operadora-kx-ns500-s1000-_JM?searchVariation=41331184008" TargetMode="External"/><Relationship Id="rId29" Type="http://schemas.openxmlformats.org/officeDocument/2006/relationships/hyperlink" Target="https://articulo.mercadolibre.com.ar/MLA-771503699-griferia-bano-banera-ducha-embutir-canilla-volare-roma-_JM" TargetMode="External"/><Relationship Id="rId1" Type="http://schemas.openxmlformats.org/officeDocument/2006/relationships/hyperlink" Target="https://articulo.mercadolibre.com.ar/MLA-811624035-mesa-de-acero-inoxidable-aisi430-reforzada-_JM" TargetMode="External"/><Relationship Id="rId6" Type="http://schemas.openxmlformats.org/officeDocument/2006/relationships/hyperlink" Target="https://articulo.mercadolibre.com.ar/MLA-603566579-multimetro-digital-capacimetro-capacidad-hfe-20-amp-200ma-_JM" TargetMode="External"/><Relationship Id="rId11" Type="http://schemas.openxmlformats.org/officeDocument/2006/relationships/hyperlink" Target="https://www.mercadolibre.com.ar/silla-de-escritorio-desillas-lancaster-negra-con-tapizado-de-mesh/p/MLA16108851?pdp_filters=category:MLA30994" TargetMode="External"/><Relationship Id="rId24" Type="http://schemas.openxmlformats.org/officeDocument/2006/relationships/hyperlink" Target="https://articulo.mercadolibre.com.ar/MLA-899028229-mesa-reunion-oficina-comedor-capacitacion-250m-x-120m-_JM" TargetMode="External"/><Relationship Id="rId32" Type="http://schemas.openxmlformats.org/officeDocument/2006/relationships/hyperlink" Target="https://santana.com.ar/es/3/productos-por-ingrediente.html" TargetMode="External"/><Relationship Id="rId37" Type="http://schemas.openxmlformats.org/officeDocument/2006/relationships/comments" Target="../comments2.xml"/><Relationship Id="rId5" Type="http://schemas.openxmlformats.org/officeDocument/2006/relationships/hyperlink" Target="https://articulo.mercadolibre.com.ar/MLA-1155648900-set-herramientas-combinadas-caja-metalica-84-piezas-yosemite-_JM" TargetMode="External"/><Relationship Id="rId15" Type="http://schemas.openxmlformats.org/officeDocument/2006/relationships/hyperlink" Target="https://www.mercadolibre.com.ar/impresora-multifuncion-hp-laserjet-137fnw-con-wifi-blanca-y-negra-220v-240v/p/MLA15159034?pdp_filters=category:MLA1676" TargetMode="External"/><Relationship Id="rId23" Type="http://schemas.openxmlformats.org/officeDocument/2006/relationships/hyperlink" Target="https://www.mercadolibre.com.ar/microondas-bgh-quick-chef-b120m20-blanco-20l-220v/p/MLA18193159?pdp_filters=category:MLA1577" TargetMode="External"/><Relationship Id="rId28" Type="http://schemas.openxmlformats.org/officeDocument/2006/relationships/hyperlink" Target="https://articulo.mercadolibre.com.ar/MLA-764828063-inodoro-largo-mochila-apoyo-descarga-dual-roca-monac-envio-_JM" TargetMode="External"/><Relationship Id="rId36" Type="http://schemas.openxmlformats.org/officeDocument/2006/relationships/vmlDrawing" Target="../drawings/vmlDrawing2.vml"/><Relationship Id="rId10" Type="http://schemas.openxmlformats.org/officeDocument/2006/relationships/hyperlink" Target="https://articulo.mercadolibre.com.ar/MLA-886614267-mesas-coworking-de-trabajo-escritorios-140x-080-_JM?variation=67339886516" TargetMode="External"/><Relationship Id="rId19" Type="http://schemas.openxmlformats.org/officeDocument/2006/relationships/hyperlink" Target="https://articulo.mercadolibre.com.ar/MLA-747747720-rack-30-unidades-glc-19-pulgadas-800mm-c-cerradura-y-ruedas-_JM" TargetMode="External"/><Relationship Id="rId31" Type="http://schemas.openxmlformats.org/officeDocument/2006/relationships/hyperlink" Target="http://www.lagomarsino.com.ar/es/productos/harinas.php" TargetMode="External"/><Relationship Id="rId4" Type="http://schemas.openxmlformats.org/officeDocument/2006/relationships/hyperlink" Target="https://articulo.mercadolibre.com.ar/MLA-918609910-dispenser-de-agua-tres-temperaturas-super-precio-para-bidon-_JM?searchVariation=87007116390" TargetMode="External"/><Relationship Id="rId9" Type="http://schemas.openxmlformats.org/officeDocument/2006/relationships/hyperlink" Target="https://articulo.mercadolibre.com.ar/MLA-1132827732-notebook-lenovo-t14-r5-8g-256-14-windows-10-pro-_JM?searchVariation=174421671052" TargetMode="External"/><Relationship Id="rId14" Type="http://schemas.openxmlformats.org/officeDocument/2006/relationships/hyperlink" Target="https://www.mercadolibre.com.ar/impresora-multifuncion-hp-laserjet-137fnw-con-wifi-blanca-y-negra-220v-240v/p/MLA15159034?pdp_filters=category:MLA1676" TargetMode="External"/><Relationship Id="rId22" Type="http://schemas.openxmlformats.org/officeDocument/2006/relationships/hyperlink" Target="https://www.mercadolibre.com.ar/access-point-router-sistema-wi-fi-mesh-tp-link-deco-x20-blanco-220v-3-unidades/p/MLA16139810?pdp_filters=item_id:MLA1101098646" TargetMode="External"/><Relationship Id="rId27" Type="http://schemas.openxmlformats.org/officeDocument/2006/relationships/hyperlink" Target="https://articulo.mercadolibre.com.ar/MLA-628375080-heladera-exhibidora-comercial-vertical-briket-m-3200-vidrio-_JM" TargetMode="External"/><Relationship Id="rId30" Type="http://schemas.openxmlformats.org/officeDocument/2006/relationships/hyperlink" Target="https://articulo.mercadolibre.com.ar/MLA-853702393-lockers-metalicos-10-ptas-pintura-epoxi-ccerradura-_JM" TargetMode="External"/><Relationship Id="rId35" Type="http://schemas.openxmlformats.org/officeDocument/2006/relationships/hyperlink" Target="https://ronalflexsrl.com.ar/laminas-de-polietileno-para-envasado-automatico/"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9D18E"/>
  </sheetPr>
  <dimension ref="A1:K294"/>
  <sheetViews>
    <sheetView topLeftCell="A82" zoomScale="60" zoomScaleNormal="60" workbookViewId="0">
      <selection activeCell="E103" sqref="E103"/>
    </sheetView>
  </sheetViews>
  <sheetFormatPr baseColWidth="10" defaultColWidth="11.44140625" defaultRowHeight="13.2" x14ac:dyDescent="0.25"/>
  <cols>
    <col min="1" max="1" width="30.44140625" customWidth="1"/>
    <col min="2" max="2" width="41" customWidth="1"/>
    <col min="3" max="3" width="17" customWidth="1"/>
    <col min="4" max="4" width="29.44140625" customWidth="1"/>
    <col min="5" max="5" width="18.44140625" customWidth="1"/>
    <col min="6" max="6" width="22.6640625" customWidth="1"/>
    <col min="7" max="7" width="25.88671875" customWidth="1"/>
    <col min="8" max="8" width="13.109375" customWidth="1"/>
    <col min="9" max="9" width="18.33203125" customWidth="1"/>
  </cols>
  <sheetData>
    <row r="1" spans="1:4" x14ac:dyDescent="0.25">
      <c r="A1" t="s">
        <v>0</v>
      </c>
    </row>
    <row r="3" spans="1:4" x14ac:dyDescent="0.25">
      <c r="A3" s="625" t="s">
        <v>1</v>
      </c>
      <c r="B3" s="625"/>
      <c r="C3" s="9">
        <v>0.28000000000000003</v>
      </c>
    </row>
    <row r="4" spans="1:4" x14ac:dyDescent="0.25">
      <c r="A4" s="626" t="s">
        <v>2</v>
      </c>
      <c r="B4" s="626"/>
      <c r="C4" s="10">
        <v>15.47</v>
      </c>
    </row>
    <row r="5" spans="1:4" x14ac:dyDescent="0.25">
      <c r="A5" s="627" t="s">
        <v>3</v>
      </c>
      <c r="B5" s="627"/>
      <c r="C5" s="11">
        <f>+C4/(1+C3)</f>
        <v>12.0859375</v>
      </c>
      <c r="D5" t="s">
        <v>4</v>
      </c>
    </row>
    <row r="11" spans="1:4" ht="21" x14ac:dyDescent="0.4">
      <c r="A11" s="12" t="s">
        <v>5</v>
      </c>
    </row>
    <row r="13" spans="1:4" x14ac:dyDescent="0.25">
      <c r="A13" t="s">
        <v>6</v>
      </c>
      <c r="B13">
        <v>25</v>
      </c>
    </row>
    <row r="14" spans="1:4" x14ac:dyDescent="0.25">
      <c r="A14" t="s">
        <v>7</v>
      </c>
      <c r="B14">
        <v>2</v>
      </c>
    </row>
    <row r="15" spans="1:4" x14ac:dyDescent="0.25">
      <c r="A15" t="s">
        <v>8</v>
      </c>
      <c r="B15">
        <v>3</v>
      </c>
    </row>
    <row r="16" spans="1:4" x14ac:dyDescent="0.25">
      <c r="A16" t="s">
        <v>9</v>
      </c>
      <c r="B16">
        <v>3</v>
      </c>
    </row>
    <row r="17" spans="1:9" x14ac:dyDescent="0.25">
      <c r="A17" t="s">
        <v>10</v>
      </c>
      <c r="B17">
        <v>3</v>
      </c>
    </row>
    <row r="20" spans="1:9" x14ac:dyDescent="0.25">
      <c r="A20" s="13" t="s">
        <v>11</v>
      </c>
      <c r="B20" s="14" t="s">
        <v>12</v>
      </c>
      <c r="C20" s="15" t="s">
        <v>13</v>
      </c>
      <c r="D20" s="16" t="s">
        <v>14</v>
      </c>
      <c r="E20" s="17" t="s">
        <v>15</v>
      </c>
      <c r="F20" s="18" t="s">
        <v>16</v>
      </c>
      <c r="G20" s="19" t="s">
        <v>17</v>
      </c>
    </row>
    <row r="21" spans="1:9" x14ac:dyDescent="0.25">
      <c r="A21" s="20" t="s">
        <v>18</v>
      </c>
      <c r="B21" s="21">
        <v>125447.86</v>
      </c>
      <c r="C21">
        <v>6</v>
      </c>
      <c r="D21" s="22">
        <f>+B21*C21</f>
        <v>752687.16</v>
      </c>
      <c r="E21" s="23">
        <v>0.25</v>
      </c>
      <c r="F21" s="24">
        <f>+D21*(1+E21)</f>
        <v>940858.95000000007</v>
      </c>
      <c r="G21" s="25">
        <f>+F21*12</f>
        <v>11290307.4</v>
      </c>
    </row>
    <row r="22" spans="1:9" x14ac:dyDescent="0.25">
      <c r="A22" s="26" t="s">
        <v>19</v>
      </c>
      <c r="B22" s="21">
        <v>121687.21</v>
      </c>
      <c r="C22">
        <v>10</v>
      </c>
      <c r="D22" s="22">
        <f>+B22*C22</f>
        <v>1216872.1000000001</v>
      </c>
      <c r="E22" s="23">
        <v>0.25</v>
      </c>
      <c r="F22" s="27">
        <f>+D22*(1+E22)</f>
        <v>1521090.125</v>
      </c>
      <c r="G22" s="28">
        <f>+F22*12</f>
        <v>18253081.5</v>
      </c>
    </row>
    <row r="23" spans="1:9" x14ac:dyDescent="0.25">
      <c r="A23" s="26" t="s">
        <v>20</v>
      </c>
      <c r="B23" s="21">
        <v>12431.64</v>
      </c>
      <c r="C23">
        <v>8</v>
      </c>
      <c r="D23" s="22">
        <f>+B23*C23</f>
        <v>99453.119999999995</v>
      </c>
      <c r="E23" s="23">
        <v>0.25</v>
      </c>
      <c r="F23" s="27">
        <f>+D23*(1+E23)</f>
        <v>124316.4</v>
      </c>
      <c r="G23" s="28">
        <f>+F23*12</f>
        <v>1491796.7999999998</v>
      </c>
    </row>
    <row r="24" spans="1:9" x14ac:dyDescent="0.25">
      <c r="A24" s="29" t="s">
        <v>21</v>
      </c>
      <c r="B24" s="30">
        <v>98260</v>
      </c>
      <c r="C24" s="31">
        <v>1</v>
      </c>
      <c r="D24" s="32">
        <f>+B24*C24</f>
        <v>98260</v>
      </c>
      <c r="E24" s="33">
        <v>0.25</v>
      </c>
      <c r="F24" s="34">
        <f>+D24*(1+E24)</f>
        <v>122825</v>
      </c>
      <c r="G24" s="28">
        <f>+F24*12</f>
        <v>1473900</v>
      </c>
    </row>
    <row r="25" spans="1:9" x14ac:dyDescent="0.25">
      <c r="C25">
        <f>+SUM(C21:C24)</f>
        <v>25</v>
      </c>
      <c r="D25" s="22">
        <f>+SUM(D21:D24)</f>
        <v>2167272.3800000004</v>
      </c>
      <c r="F25" s="35"/>
      <c r="G25" s="36">
        <f>+SUM(G21:G24)*I25</f>
        <v>32509085.699999999</v>
      </c>
      <c r="H25" t="s">
        <v>22</v>
      </c>
      <c r="I25">
        <v>1</v>
      </c>
    </row>
    <row r="27" spans="1:9" x14ac:dyDescent="0.25">
      <c r="A27" t="s">
        <v>23</v>
      </c>
      <c r="B27" s="37">
        <f>+G25/C94</f>
        <v>10759.360741625766</v>
      </c>
      <c r="C27" t="s">
        <v>24</v>
      </c>
      <c r="G27" s="38"/>
      <c r="I27" s="23"/>
    </row>
    <row r="28" spans="1:9" x14ac:dyDescent="0.25">
      <c r="B28" s="37"/>
      <c r="G28" s="38"/>
      <c r="I28" s="23"/>
    </row>
    <row r="29" spans="1:9" x14ac:dyDescent="0.25">
      <c r="A29" s="39" t="s">
        <v>25</v>
      </c>
      <c r="B29" s="37"/>
      <c r="G29" s="38"/>
      <c r="I29" s="23"/>
    </row>
    <row r="30" spans="1:9" x14ac:dyDescent="0.25">
      <c r="A30" s="40" t="s">
        <v>26</v>
      </c>
      <c r="B30" s="41">
        <f>D30*G25*E30</f>
        <v>0</v>
      </c>
      <c r="C30" t="s">
        <v>27</v>
      </c>
      <c r="D30" s="23">
        <v>0.95</v>
      </c>
      <c r="G30" s="38"/>
      <c r="I30" s="23"/>
    </row>
    <row r="31" spans="1:9" x14ac:dyDescent="0.25">
      <c r="A31" s="26" t="s">
        <v>28</v>
      </c>
      <c r="B31" s="42">
        <f>+B94*B27</f>
        <v>23439052.188416898</v>
      </c>
      <c r="D31" s="23"/>
      <c r="I31" s="23"/>
    </row>
    <row r="32" spans="1:9" x14ac:dyDescent="0.25">
      <c r="A32" s="26" t="s">
        <v>29</v>
      </c>
      <c r="B32" s="42">
        <f>+C5*B27</f>
        <v>130036.96146324265</v>
      </c>
      <c r="I32" s="23"/>
    </row>
    <row r="33" spans="1:9" x14ac:dyDescent="0.25">
      <c r="A33" s="29" t="s">
        <v>30</v>
      </c>
      <c r="B33" s="34">
        <f>B30-B31-B32</f>
        <v>-23569089.149880141</v>
      </c>
    </row>
    <row r="35" spans="1:9" x14ac:dyDescent="0.25">
      <c r="A35" s="43" t="s">
        <v>31</v>
      </c>
      <c r="B35" s="44" t="s">
        <v>32</v>
      </c>
      <c r="C35" s="45" t="s">
        <v>13</v>
      </c>
      <c r="D35" s="46" t="s">
        <v>14</v>
      </c>
      <c r="E35" s="44" t="s">
        <v>15</v>
      </c>
      <c r="F35" s="19" t="s">
        <v>16</v>
      </c>
      <c r="G35" s="19" t="s">
        <v>17</v>
      </c>
    </row>
    <row r="36" spans="1:9" x14ac:dyDescent="0.25">
      <c r="A36" s="47" t="s">
        <v>33</v>
      </c>
      <c r="B36" s="48">
        <v>130000</v>
      </c>
      <c r="C36" s="49">
        <v>2</v>
      </c>
      <c r="D36" s="50">
        <f>+B36*C36</f>
        <v>260000</v>
      </c>
      <c r="E36" s="51">
        <v>0.25</v>
      </c>
      <c r="F36" s="24">
        <f>+D36*(1+E36)</f>
        <v>325000</v>
      </c>
      <c r="G36" s="25">
        <f>+F36*12</f>
        <v>3900000</v>
      </c>
    </row>
    <row r="37" spans="1:9" x14ac:dyDescent="0.25">
      <c r="A37" s="52" t="s">
        <v>34</v>
      </c>
      <c r="B37" s="21">
        <v>130000</v>
      </c>
      <c r="C37">
        <v>3</v>
      </c>
      <c r="D37" s="22">
        <f>+B37*C37</f>
        <v>390000</v>
      </c>
      <c r="E37" s="23">
        <v>0.25</v>
      </c>
      <c r="F37" s="27">
        <f>+D37*(1+E37)</f>
        <v>487500</v>
      </c>
      <c r="G37" s="28">
        <f>+F37*12</f>
        <v>5850000</v>
      </c>
    </row>
    <row r="38" spans="1:9" x14ac:dyDescent="0.25">
      <c r="A38" s="52" t="s">
        <v>35</v>
      </c>
      <c r="B38" s="21">
        <v>160000</v>
      </c>
      <c r="C38">
        <v>3</v>
      </c>
      <c r="D38" s="22">
        <f>+B38*C38</f>
        <v>480000</v>
      </c>
      <c r="E38" s="23">
        <v>0.25</v>
      </c>
      <c r="F38" s="27">
        <f>+D38*(1+E38)</f>
        <v>600000</v>
      </c>
      <c r="G38" s="28">
        <f>+F38*12</f>
        <v>7200000</v>
      </c>
    </row>
    <row r="39" spans="1:9" x14ac:dyDescent="0.25">
      <c r="A39" s="53" t="s">
        <v>36</v>
      </c>
      <c r="B39" s="30">
        <v>100000</v>
      </c>
      <c r="C39" s="31">
        <v>3</v>
      </c>
      <c r="D39" s="32">
        <f>+B39*C39</f>
        <v>300000</v>
      </c>
      <c r="E39" s="33">
        <v>0.25</v>
      </c>
      <c r="F39" s="34">
        <f>+D39*(1+E39)</f>
        <v>375000</v>
      </c>
      <c r="G39" s="28">
        <f>+F39*12</f>
        <v>4500000</v>
      </c>
    </row>
    <row r="40" spans="1:9" x14ac:dyDescent="0.25">
      <c r="C40">
        <f>+SUM(C36:C39)</f>
        <v>11</v>
      </c>
      <c r="D40" s="22">
        <f>+SUM(D36:D39)</f>
        <v>1430000</v>
      </c>
      <c r="F40" s="35"/>
      <c r="G40" s="54">
        <f>+SUM(G36:G39)*I40</f>
        <v>21450000</v>
      </c>
      <c r="H40" t="s">
        <v>22</v>
      </c>
      <c r="I40">
        <v>1</v>
      </c>
    </row>
    <row r="41" spans="1:9" x14ac:dyDescent="0.25">
      <c r="A41" t="s">
        <v>37</v>
      </c>
      <c r="B41" s="37">
        <f>+G40/C94</f>
        <v>7099.1934389552107</v>
      </c>
      <c r="C41" t="s">
        <v>24</v>
      </c>
      <c r="D41" s="22"/>
      <c r="F41" s="55" t="s">
        <v>38</v>
      </c>
      <c r="G41" s="56">
        <f>+C5*B41</f>
        <v>85800.408203622748</v>
      </c>
    </row>
    <row r="43" spans="1:9" x14ac:dyDescent="0.25">
      <c r="A43" s="39" t="s">
        <v>25</v>
      </c>
      <c r="B43" s="37"/>
      <c r="G43" s="38"/>
      <c r="I43" s="23"/>
    </row>
    <row r="44" spans="1:9" x14ac:dyDescent="0.25">
      <c r="A44" s="40" t="s">
        <v>39</v>
      </c>
      <c r="B44" s="41">
        <f>+D44*G40</f>
        <v>18232500</v>
      </c>
      <c r="C44" t="s">
        <v>27</v>
      </c>
      <c r="D44" s="23">
        <v>0.85</v>
      </c>
      <c r="G44" s="38"/>
      <c r="I44" s="23"/>
    </row>
    <row r="45" spans="1:9" x14ac:dyDescent="0.25">
      <c r="A45" s="57" t="s">
        <v>40</v>
      </c>
      <c r="B45" s="42">
        <f>+B44/B94</f>
        <v>8369.3676324776916</v>
      </c>
    </row>
    <row r="46" spans="1:9" x14ac:dyDescent="0.25">
      <c r="A46" s="29" t="s">
        <v>38</v>
      </c>
      <c r="B46" s="34">
        <f>+C5*B45</f>
        <v>101151.65412064835</v>
      </c>
    </row>
    <row r="48" spans="1:9" ht="21" x14ac:dyDescent="0.4">
      <c r="A48" s="628" t="s">
        <v>41</v>
      </c>
      <c r="B48" s="628"/>
      <c r="C48" s="628"/>
      <c r="D48" s="628"/>
    </row>
    <row r="49" spans="1:8" ht="21" x14ac:dyDescent="0.4">
      <c r="A49" s="6"/>
      <c r="B49" s="6"/>
      <c r="C49" s="6"/>
      <c r="D49" s="6"/>
    </row>
    <row r="50" spans="1:8" ht="21" x14ac:dyDescent="0.4">
      <c r="A50" s="58" t="s">
        <v>42</v>
      </c>
      <c r="B50" s="6"/>
      <c r="C50" s="6"/>
      <c r="D50" s="6"/>
    </row>
    <row r="51" spans="1:8" ht="21" x14ac:dyDescent="0.4">
      <c r="A51" s="6"/>
      <c r="B51" s="629"/>
      <c r="C51" s="629"/>
      <c r="D51" s="630" t="s">
        <v>43</v>
      </c>
      <c r="E51" s="630"/>
      <c r="F51" s="5"/>
    </row>
    <row r="52" spans="1:8" x14ac:dyDescent="0.25">
      <c r="B52" s="59"/>
      <c r="C52" s="60"/>
      <c r="D52" s="61" t="s">
        <v>44</v>
      </c>
      <c r="E52" s="62" t="s">
        <v>45</v>
      </c>
      <c r="F52" s="63" t="s">
        <v>46</v>
      </c>
      <c r="G52" t="s">
        <v>47</v>
      </c>
    </row>
    <row r="53" spans="1:8" ht="13.5" customHeight="1" x14ac:dyDescent="0.25">
      <c r="A53" s="621" t="s">
        <v>48</v>
      </c>
      <c r="B53" s="622" t="s">
        <v>49</v>
      </c>
      <c r="C53" s="622"/>
      <c r="D53" s="64">
        <f>3900/1.21</f>
        <v>3223.1404958677685</v>
      </c>
      <c r="E53" s="65">
        <f t="shared" ref="E53:E58" si="0">+D53*0.21</f>
        <v>676.85950413223134</v>
      </c>
      <c r="F53" s="24">
        <f t="shared" ref="F53:F58" si="1">+D53+E53</f>
        <v>3900</v>
      </c>
      <c r="G53" s="66" t="s">
        <v>50</v>
      </c>
    </row>
    <row r="54" spans="1:8" x14ac:dyDescent="0.25">
      <c r="A54" s="621"/>
      <c r="B54" s="623" t="s">
        <v>51</v>
      </c>
      <c r="C54" s="623"/>
      <c r="D54" s="67">
        <f>2850*5/1.21</f>
        <v>11776.859504132231</v>
      </c>
      <c r="E54" s="68">
        <f t="shared" si="0"/>
        <v>2473.1404958677685</v>
      </c>
      <c r="F54" s="27">
        <f t="shared" si="1"/>
        <v>14250</v>
      </c>
      <c r="G54" s="66" t="s">
        <v>52</v>
      </c>
    </row>
    <row r="55" spans="1:8" x14ac:dyDescent="0.25">
      <c r="A55" s="621"/>
      <c r="B55" s="623" t="s">
        <v>53</v>
      </c>
      <c r="C55" s="623"/>
      <c r="D55" s="67">
        <f>13057/1.21</f>
        <v>10790.909090909092</v>
      </c>
      <c r="E55" s="68">
        <f t="shared" si="0"/>
        <v>2266.090909090909</v>
      </c>
      <c r="F55" s="27">
        <f t="shared" si="1"/>
        <v>13057</v>
      </c>
      <c r="G55" s="66" t="s">
        <v>54</v>
      </c>
    </row>
    <row r="56" spans="1:8" x14ac:dyDescent="0.25">
      <c r="A56" s="621"/>
      <c r="B56" s="623" t="s">
        <v>55</v>
      </c>
      <c r="C56" s="623"/>
      <c r="D56" s="67">
        <f>1030/1.21</f>
        <v>851.23966942148763</v>
      </c>
      <c r="E56" s="68">
        <f t="shared" si="0"/>
        <v>178.7603305785124</v>
      </c>
      <c r="F56" s="27">
        <f t="shared" si="1"/>
        <v>1030</v>
      </c>
      <c r="G56" s="66" t="s">
        <v>56</v>
      </c>
    </row>
    <row r="57" spans="1:8" x14ac:dyDescent="0.25">
      <c r="A57" s="621"/>
      <c r="B57" s="623" t="s">
        <v>57</v>
      </c>
      <c r="C57" s="623"/>
      <c r="D57" s="67">
        <f>3.7*InfoInicial!B33</f>
        <v>559.625</v>
      </c>
      <c r="E57" s="68">
        <f t="shared" si="0"/>
        <v>117.52124999999999</v>
      </c>
      <c r="F57" s="27">
        <f t="shared" si="1"/>
        <v>677.14625000000001</v>
      </c>
      <c r="G57" s="66" t="s">
        <v>58</v>
      </c>
    </row>
    <row r="58" spans="1:8" x14ac:dyDescent="0.25">
      <c r="A58" s="621"/>
      <c r="B58" s="624" t="s">
        <v>59</v>
      </c>
      <c r="C58" s="624"/>
      <c r="D58" s="69">
        <f>150/1.21</f>
        <v>123.96694214876034</v>
      </c>
      <c r="E58" s="70">
        <f t="shared" si="0"/>
        <v>26.033057851239668</v>
      </c>
      <c r="F58" s="34">
        <f t="shared" si="1"/>
        <v>150</v>
      </c>
    </row>
    <row r="60" spans="1:8" ht="14.4" x14ac:dyDescent="0.3">
      <c r="A60" s="71"/>
      <c r="B60" s="71"/>
      <c r="C60" s="71"/>
      <c r="D60" s="71"/>
      <c r="E60" s="71"/>
      <c r="F60" s="71"/>
      <c r="G60" s="71"/>
      <c r="H60" s="71"/>
    </row>
    <row r="61" spans="1:8" ht="14.4" x14ac:dyDescent="0.3">
      <c r="E61" s="71"/>
    </row>
    <row r="62" spans="1:8" ht="14.4" x14ac:dyDescent="0.3">
      <c r="A62" s="72" t="s">
        <v>60</v>
      </c>
      <c r="B62" s="73" t="s">
        <v>61</v>
      </c>
      <c r="C62" s="74" t="s">
        <v>62</v>
      </c>
      <c r="D62" s="71"/>
      <c r="E62" s="71"/>
    </row>
    <row r="63" spans="1:8" ht="14.4" x14ac:dyDescent="0.3">
      <c r="A63" s="75" t="s">
        <v>63</v>
      </c>
      <c r="B63" s="76">
        <v>573696</v>
      </c>
      <c r="C63" s="77">
        <v>2486016</v>
      </c>
      <c r="D63" s="71"/>
      <c r="E63" s="71"/>
    </row>
    <row r="64" spans="1:8" ht="14.4" x14ac:dyDescent="0.3">
      <c r="A64" s="75" t="s">
        <v>64</v>
      </c>
      <c r="B64" s="76">
        <v>3250944</v>
      </c>
      <c r="C64" s="77">
        <v>1338624</v>
      </c>
      <c r="D64" s="71"/>
      <c r="E64" s="71"/>
    </row>
    <row r="65" spans="1:8" ht="14.4" x14ac:dyDescent="0.3">
      <c r="A65" s="78" t="s">
        <v>65</v>
      </c>
      <c r="B65" s="79">
        <f>+B64+B63</f>
        <v>3824640</v>
      </c>
      <c r="C65" s="80">
        <f>+C64+C63</f>
        <v>3824640</v>
      </c>
      <c r="D65" s="71"/>
      <c r="E65" s="71"/>
    </row>
    <row r="66" spans="1:8" ht="14.4" x14ac:dyDescent="0.3">
      <c r="A66" s="81" t="s">
        <v>66</v>
      </c>
      <c r="B66" s="82">
        <v>0.33</v>
      </c>
      <c r="C66" s="83"/>
      <c r="D66" s="71"/>
      <c r="E66" s="71"/>
    </row>
    <row r="67" spans="1:8" ht="14.4" x14ac:dyDescent="0.3">
      <c r="A67" s="84" t="s">
        <v>67</v>
      </c>
      <c r="B67" s="85"/>
      <c r="C67" s="86">
        <v>0.46</v>
      </c>
      <c r="D67" s="71"/>
      <c r="E67" s="71"/>
      <c r="G67" s="71"/>
      <c r="H67" s="71"/>
    </row>
    <row r="68" spans="1:8" ht="14.4" x14ac:dyDescent="0.3">
      <c r="A68" s="75"/>
      <c r="B68" s="87"/>
      <c r="C68" s="88"/>
      <c r="D68" s="89" t="s">
        <v>68</v>
      </c>
      <c r="E68" s="71"/>
    </row>
    <row r="69" spans="1:8" ht="14.4" x14ac:dyDescent="0.3">
      <c r="A69" s="90" t="s">
        <v>69</v>
      </c>
      <c r="B69" s="91">
        <f>+B65*B66/1000</f>
        <v>1262.1312</v>
      </c>
      <c r="C69" s="92">
        <f>+C65*C67/1000</f>
        <v>1759.3344000000002</v>
      </c>
      <c r="D69" s="93">
        <f>+B69+C69</f>
        <v>3021.4656000000004</v>
      </c>
    </row>
    <row r="72" spans="1:8" ht="14.4" x14ac:dyDescent="0.3">
      <c r="A72" s="94" t="s">
        <v>70</v>
      </c>
      <c r="B72" s="95" t="s">
        <v>71</v>
      </c>
      <c r="C72" s="96"/>
      <c r="D72" s="95" t="s">
        <v>72</v>
      </c>
      <c r="E72" s="97"/>
    </row>
    <row r="73" spans="1:8" ht="14.4" x14ac:dyDescent="0.3">
      <c r="A73" s="98" t="s">
        <v>73</v>
      </c>
      <c r="B73" s="87">
        <v>100</v>
      </c>
      <c r="C73" s="71" t="s">
        <v>74</v>
      </c>
      <c r="D73" s="99">
        <f>1000*B73/$B$77</f>
        <v>946.52153336488414</v>
      </c>
      <c r="E73" s="88" t="s">
        <v>74</v>
      </c>
      <c r="F73" s="22">
        <f>+D53/25*D73</f>
        <v>122030.87537596854</v>
      </c>
    </row>
    <row r="74" spans="1:8" ht="14.4" x14ac:dyDescent="0.3">
      <c r="A74" s="100" t="s">
        <v>75</v>
      </c>
      <c r="B74" s="87">
        <f>350/1000</f>
        <v>0.35</v>
      </c>
      <c r="C74" s="71" t="s">
        <v>74</v>
      </c>
      <c r="D74" s="99">
        <f>1000*B74/$B$77</f>
        <v>3.3128253667770946</v>
      </c>
      <c r="E74" s="88" t="s">
        <v>74</v>
      </c>
      <c r="F74" s="22">
        <f>+D54/5*D74</f>
        <v>7802.9357812518338</v>
      </c>
    </row>
    <row r="75" spans="1:8" ht="14.4" x14ac:dyDescent="0.3">
      <c r="A75" s="100" t="s">
        <v>76</v>
      </c>
      <c r="B75" s="87">
        <v>5</v>
      </c>
      <c r="C75" s="71" t="s">
        <v>74</v>
      </c>
      <c r="D75" s="99">
        <f>1000*B75/$B$77</f>
        <v>47.326076668244205</v>
      </c>
      <c r="E75" s="88" t="s">
        <v>74</v>
      </c>
      <c r="F75" s="22">
        <f>+D55/20*D75</f>
        <v>25534.569547820854</v>
      </c>
    </row>
    <row r="76" spans="1:8" ht="14.4" x14ac:dyDescent="0.3">
      <c r="A76" s="101" t="s">
        <v>77</v>
      </c>
      <c r="B76" s="85">
        <f>300/1000</f>
        <v>0.3</v>
      </c>
      <c r="C76" s="102" t="s">
        <v>74</v>
      </c>
      <c r="D76" s="103">
        <f>1000*B76/$B$77</f>
        <v>2.8395646000946524</v>
      </c>
      <c r="E76" s="86" t="s">
        <v>74</v>
      </c>
      <c r="F76" s="22">
        <f>+D56/25*D76</f>
        <v>96.686001259421232</v>
      </c>
    </row>
    <row r="77" spans="1:8" ht="14.4" x14ac:dyDescent="0.3">
      <c r="B77" s="71">
        <f>+SUM(B73:B76)</f>
        <v>105.64999999999999</v>
      </c>
      <c r="C77" s="71"/>
      <c r="D77" s="104">
        <f>+SUM(D73:D76)</f>
        <v>1000.0000000000001</v>
      </c>
      <c r="E77" s="71" t="s">
        <v>74</v>
      </c>
      <c r="F77" s="22">
        <f>+SUM(F73:F76)</f>
        <v>155465.06670630065</v>
      </c>
      <c r="G77" t="s">
        <v>78</v>
      </c>
    </row>
    <row r="79" spans="1:8" ht="14.4" x14ac:dyDescent="0.3">
      <c r="A79" s="94" t="s">
        <v>79</v>
      </c>
      <c r="B79" s="95" t="s">
        <v>80</v>
      </c>
      <c r="C79" s="96"/>
      <c r="D79" s="95" t="s">
        <v>81</v>
      </c>
      <c r="E79" s="97"/>
    </row>
    <row r="80" spans="1:8" ht="14.4" x14ac:dyDescent="0.3">
      <c r="A80" s="98" t="s">
        <v>73</v>
      </c>
      <c r="B80" s="87">
        <v>100</v>
      </c>
      <c r="C80" s="71" t="s">
        <v>74</v>
      </c>
      <c r="D80" s="99">
        <f>1000*B80/$B$84</f>
        <v>828.84376295068387</v>
      </c>
      <c r="E80" s="88" t="s">
        <v>74</v>
      </c>
      <c r="F80" s="37">
        <f>+D53/25*D80</f>
        <v>106859.19588455098</v>
      </c>
    </row>
    <row r="81" spans="1:7" ht="14.4" x14ac:dyDescent="0.3">
      <c r="A81" s="100" t="s">
        <v>75</v>
      </c>
      <c r="B81" s="87">
        <f>350/1000</f>
        <v>0.35</v>
      </c>
      <c r="C81" s="71" t="s">
        <v>74</v>
      </c>
      <c r="D81" s="99">
        <f>1000*B81/$B$84</f>
        <v>2.9009531703273934</v>
      </c>
      <c r="E81" s="88" t="s">
        <v>74</v>
      </c>
      <c r="F81" s="37">
        <f>+D54/5*D81</f>
        <v>6832.8235830025378</v>
      </c>
    </row>
    <row r="82" spans="1:7" ht="14.4" x14ac:dyDescent="0.3">
      <c r="A82" s="100" t="s">
        <v>76</v>
      </c>
      <c r="B82" s="87">
        <v>20</v>
      </c>
      <c r="C82" s="71" t="s">
        <v>74</v>
      </c>
      <c r="D82" s="99">
        <f>1000*B82/$B$84</f>
        <v>165.76875259013678</v>
      </c>
      <c r="E82" s="88" t="s">
        <v>74</v>
      </c>
      <c r="F82" s="37">
        <f>D55/20*D82</f>
        <v>89439.776965678364</v>
      </c>
    </row>
    <row r="83" spans="1:7" ht="14.4" x14ac:dyDescent="0.3">
      <c r="A83" s="101" t="s">
        <v>77</v>
      </c>
      <c r="B83" s="85">
        <f>300/1000</f>
        <v>0.3</v>
      </c>
      <c r="C83" s="102" t="s">
        <v>74</v>
      </c>
      <c r="D83" s="103">
        <f>1000*B83/$B$84</f>
        <v>2.4865312888520514</v>
      </c>
      <c r="E83" s="86" t="s">
        <v>74</v>
      </c>
      <c r="F83" s="37">
        <f>+D56/5*D83</f>
        <v>423.32681446572121</v>
      </c>
    </row>
    <row r="84" spans="1:7" ht="14.4" x14ac:dyDescent="0.3">
      <c r="B84" s="71">
        <f>+SUM(B80:B83)</f>
        <v>120.64999999999999</v>
      </c>
      <c r="C84" s="71" t="s">
        <v>74</v>
      </c>
      <c r="D84" s="104">
        <f>+SUM(D80:D83)</f>
        <v>1000.0000000000001</v>
      </c>
      <c r="E84" s="71" t="s">
        <v>74</v>
      </c>
      <c r="F84" s="37">
        <f>+SUM(F80:F83)</f>
        <v>203555.1232476976</v>
      </c>
      <c r="G84" t="s">
        <v>82</v>
      </c>
    </row>
    <row r="86" spans="1:7" ht="14.4" x14ac:dyDescent="0.3">
      <c r="A86" s="71" t="s">
        <v>83</v>
      </c>
      <c r="B86" s="71">
        <v>4.3</v>
      </c>
      <c r="C86" s="71" t="s">
        <v>84</v>
      </c>
      <c r="D86" s="105">
        <f>+B65*B86/1000</f>
        <v>16445.952000000001</v>
      </c>
      <c r="E86" s="71" t="s">
        <v>85</v>
      </c>
      <c r="G86" s="106" t="s">
        <v>86</v>
      </c>
    </row>
    <row r="87" spans="1:7" ht="14.4" x14ac:dyDescent="0.3">
      <c r="A87" s="71" t="s">
        <v>87</v>
      </c>
      <c r="B87" s="71">
        <v>4.9000000000000004</v>
      </c>
      <c r="C87" s="71" t="s">
        <v>84</v>
      </c>
      <c r="D87" s="105">
        <f>+(C65)*B87/1000</f>
        <v>18740.736000000001</v>
      </c>
      <c r="E87" s="71" t="s">
        <v>85</v>
      </c>
      <c r="G87" s="106"/>
    </row>
    <row r="88" spans="1:7" ht="14.4" x14ac:dyDescent="0.3">
      <c r="A88" s="71" t="s">
        <v>88</v>
      </c>
      <c r="B88" s="107">
        <f>ROUND(B65/108,0)</f>
        <v>35413</v>
      </c>
      <c r="C88" s="107">
        <f>+ROUND(C65/48,0)</f>
        <v>79680</v>
      </c>
    </row>
    <row r="89" spans="1:7" ht="14.4" x14ac:dyDescent="0.3">
      <c r="A89" s="71"/>
    </row>
    <row r="90" spans="1:7" ht="14.4" x14ac:dyDescent="0.3">
      <c r="A90" s="71" t="s">
        <v>89</v>
      </c>
      <c r="F90" s="39" t="s">
        <v>90</v>
      </c>
      <c r="G90" s="97" t="s">
        <v>91</v>
      </c>
    </row>
    <row r="91" spans="1:7" ht="14.4" x14ac:dyDescent="0.3">
      <c r="A91" s="108"/>
      <c r="B91" s="109" t="s">
        <v>92</v>
      </c>
      <c r="C91" s="110" t="s">
        <v>93</v>
      </c>
      <c r="E91" s="111" t="s">
        <v>94</v>
      </c>
      <c r="F91" s="112">
        <f>ROUNDDOWN(B99*1000/B66,0)</f>
        <v>2757565</v>
      </c>
      <c r="G91" s="113">
        <f>ROUNDDOWN(E99*1000/C67,0)</f>
        <v>2757565</v>
      </c>
    </row>
    <row r="92" spans="1:7" ht="14.4" x14ac:dyDescent="0.3">
      <c r="A92" s="114" t="s">
        <v>95</v>
      </c>
      <c r="B92" s="115">
        <v>2330.5700000000002</v>
      </c>
      <c r="C92" s="116">
        <v>3081.98</v>
      </c>
      <c r="D92" s="115"/>
      <c r="E92" s="115"/>
    </row>
    <row r="93" spans="1:7" ht="14.4" x14ac:dyDescent="0.3">
      <c r="A93" s="114" t="s">
        <v>96</v>
      </c>
      <c r="B93" s="115">
        <v>60.51</v>
      </c>
      <c r="C93" s="116">
        <v>60.51</v>
      </c>
      <c r="D93" s="115"/>
      <c r="E93" s="115"/>
    </row>
    <row r="94" spans="1:7" ht="14.4" x14ac:dyDescent="0.3">
      <c r="A94" s="117" t="s">
        <v>97</v>
      </c>
      <c r="B94" s="1">
        <v>2178.48</v>
      </c>
      <c r="C94" s="118">
        <v>3021.47</v>
      </c>
      <c r="D94" s="115" t="s">
        <v>98</v>
      </c>
      <c r="E94" s="115"/>
    </row>
    <row r="95" spans="1:7" ht="14.4" x14ac:dyDescent="0.3">
      <c r="A95" s="71" t="s">
        <v>99</v>
      </c>
      <c r="B95">
        <f>+C92/C94</f>
        <v>1.0200266757571645</v>
      </c>
      <c r="C95" t="s">
        <v>100</v>
      </c>
      <c r="D95" s="115"/>
      <c r="E95" s="115"/>
    </row>
    <row r="96" spans="1:7" ht="14.4" x14ac:dyDescent="0.3">
      <c r="A96" s="108"/>
      <c r="B96" s="109" t="s">
        <v>92</v>
      </c>
      <c r="C96" s="110" t="s">
        <v>93</v>
      </c>
      <c r="D96" s="108"/>
      <c r="E96" s="109" t="s">
        <v>92</v>
      </c>
      <c r="F96" s="110" t="s">
        <v>93</v>
      </c>
    </row>
    <row r="97" spans="1:7" ht="14.4" x14ac:dyDescent="0.3">
      <c r="A97" s="114" t="s">
        <v>101</v>
      </c>
      <c r="B97" s="119">
        <f>+B92/D69*B69</f>
        <v>973.52924050632907</v>
      </c>
      <c r="C97" s="120">
        <f>+C92/C94*B69</f>
        <v>1287.4074923054011</v>
      </c>
      <c r="D97" s="114" t="s">
        <v>102</v>
      </c>
      <c r="E97" s="119">
        <f>+B92/D69*C69</f>
        <v>1357.040759493671</v>
      </c>
      <c r="F97" s="120">
        <f>+C92/C94*C69</f>
        <v>1794.5680195772259</v>
      </c>
    </row>
    <row r="98" spans="1:7" ht="14.4" x14ac:dyDescent="0.3">
      <c r="A98" s="114" t="s">
        <v>103</v>
      </c>
      <c r="B98" s="119">
        <f>+C93/C94*B69</f>
        <v>25.276292305401018</v>
      </c>
      <c r="C98" s="120">
        <f>+B98</f>
        <v>25.276292305401018</v>
      </c>
      <c r="D98" s="114" t="s">
        <v>104</v>
      </c>
      <c r="E98" s="119">
        <f>+C93/C94*C69</f>
        <v>35.23361957722566</v>
      </c>
      <c r="F98" s="120">
        <f>+E98</f>
        <v>35.23361957722566</v>
      </c>
    </row>
    <row r="99" spans="1:7" ht="14.4" x14ac:dyDescent="0.3">
      <c r="A99" s="117" t="s">
        <v>105</v>
      </c>
      <c r="B99" s="121">
        <f>+B94/C94*C99</f>
        <v>909.99664950371857</v>
      </c>
      <c r="C99" s="122">
        <f>+B69</f>
        <v>1262.1312</v>
      </c>
      <c r="D99" s="117" t="s">
        <v>106</v>
      </c>
      <c r="E99" s="121">
        <f>+B94/C94*F99</f>
        <v>1268.4801780960927</v>
      </c>
      <c r="F99" s="122">
        <f>+C69</f>
        <v>1759.3344000000002</v>
      </c>
      <c r="G99" t="s">
        <v>98</v>
      </c>
    </row>
    <row r="100" spans="1:7" ht="14.4" x14ac:dyDescent="0.3">
      <c r="A100" s="123" t="s">
        <v>107</v>
      </c>
      <c r="B100" s="22">
        <f>+B97*F77</f>
        <v>151349788.31585068</v>
      </c>
      <c r="C100" s="22">
        <f>+C97*F77</f>
        <v>200146891.66945043</v>
      </c>
      <c r="D100" s="71" t="s">
        <v>108</v>
      </c>
      <c r="E100" s="22">
        <f>+E97*F84</f>
        <v>276232599.05088335</v>
      </c>
      <c r="F100" s="22">
        <f>+F97*F84</f>
        <v>365293514.40141881</v>
      </c>
    </row>
    <row r="101" spans="1:7" ht="14.4" x14ac:dyDescent="0.3">
      <c r="A101" s="124" t="s">
        <v>109</v>
      </c>
      <c r="B101" s="35">
        <f>+B100+E100</f>
        <v>427582387.36673403</v>
      </c>
      <c r="C101" s="35">
        <f>+C100+F100</f>
        <v>565440406.07086921</v>
      </c>
    </row>
    <row r="102" spans="1:7" ht="14.4" x14ac:dyDescent="0.3">
      <c r="A102" s="124" t="s">
        <v>110</v>
      </c>
      <c r="B102" s="37">
        <f>+B101/B92</f>
        <v>183466.87178103812</v>
      </c>
      <c r="C102" s="37">
        <f>+C101/C92</f>
        <v>183466.60460835864</v>
      </c>
      <c r="D102" t="s">
        <v>111</v>
      </c>
    </row>
    <row r="103" spans="1:7" ht="28.8" x14ac:dyDescent="0.25">
      <c r="A103" s="125" t="s">
        <v>112</v>
      </c>
      <c r="B103" s="126">
        <f>+B99*F77*B95+E99*F84*B95</f>
        <v>407682557.10540473</v>
      </c>
      <c r="C103" s="37"/>
    </row>
    <row r="104" spans="1:7" ht="14.4" x14ac:dyDescent="0.3">
      <c r="A104" s="124" t="s">
        <v>113</v>
      </c>
      <c r="B104" s="126">
        <f>+B98*F77+E98*F84</f>
        <v>11101564.244851783</v>
      </c>
      <c r="C104" s="22"/>
    </row>
    <row r="105" spans="1:7" ht="14.4" x14ac:dyDescent="0.3">
      <c r="A105" s="127" t="s">
        <v>114</v>
      </c>
      <c r="B105" s="126">
        <f>+B101-B103-B104</f>
        <v>8798266.0164775103</v>
      </c>
    </row>
    <row r="106" spans="1:7" ht="14.4" x14ac:dyDescent="0.3">
      <c r="A106" s="71"/>
    </row>
    <row r="107" spans="1:7" ht="15.6" x14ac:dyDescent="0.3">
      <c r="A107" s="128" t="s">
        <v>115</v>
      </c>
    </row>
    <row r="108" spans="1:7" ht="15.6" x14ac:dyDescent="0.3">
      <c r="A108" s="129" t="s">
        <v>116</v>
      </c>
    </row>
    <row r="109" spans="1:7" ht="15.6" x14ac:dyDescent="0.3">
      <c r="A109" s="128"/>
    </row>
    <row r="110" spans="1:7" ht="14.4" x14ac:dyDescent="0.3">
      <c r="A110" s="123" t="s">
        <v>117</v>
      </c>
      <c r="B110" s="130">
        <v>0.9</v>
      </c>
      <c r="D110" s="20" t="s">
        <v>118</v>
      </c>
      <c r="E110" s="49"/>
      <c r="F110" s="20" t="s">
        <v>119</v>
      </c>
      <c r="G110" s="131"/>
    </row>
    <row r="111" spans="1:7" ht="14.4" x14ac:dyDescent="0.3">
      <c r="A111" s="132" t="s">
        <v>120</v>
      </c>
      <c r="B111" s="133">
        <f>+'E-Inv AF y Am'!D57</f>
        <v>12060358.945166651</v>
      </c>
      <c r="D111" s="134">
        <f>+'E-Inv AF y Am'!D57*E111</f>
        <v>603017.94725833263</v>
      </c>
      <c r="E111" s="33">
        <v>0.05</v>
      </c>
      <c r="F111" s="134">
        <f>+'E-Inv AF y Am'!D57*G111</f>
        <v>603017.94725833263</v>
      </c>
      <c r="G111" s="135">
        <v>0.05</v>
      </c>
    </row>
    <row r="112" spans="1:7" ht="15.6" x14ac:dyDescent="0.3">
      <c r="A112" s="136"/>
      <c r="B112" s="57"/>
    </row>
    <row r="113" spans="1:8" ht="28.8" x14ac:dyDescent="0.3">
      <c r="A113" s="132" t="s">
        <v>121</v>
      </c>
      <c r="B113" s="133">
        <f>+B111*B110</f>
        <v>10854323.050649986</v>
      </c>
    </row>
    <row r="114" spans="1:8" ht="14.4" x14ac:dyDescent="0.3">
      <c r="A114" s="132" t="s">
        <v>122</v>
      </c>
      <c r="B114" s="133">
        <f>+B113/B94</f>
        <v>4982.5213225046755</v>
      </c>
      <c r="C114" t="s">
        <v>123</v>
      </c>
    </row>
    <row r="115" spans="1:8" ht="14.4" x14ac:dyDescent="0.3">
      <c r="A115" s="132" t="s">
        <v>124</v>
      </c>
      <c r="B115" s="133">
        <f>+B113/C94</f>
        <v>3592.3980879009177</v>
      </c>
      <c r="C115" t="s">
        <v>123</v>
      </c>
    </row>
    <row r="116" spans="1:8" ht="15.6" x14ac:dyDescent="0.3">
      <c r="A116" s="136"/>
      <c r="B116" s="57"/>
    </row>
    <row r="117" spans="1:8" ht="14.4" x14ac:dyDescent="0.3">
      <c r="A117" s="132" t="s">
        <v>125</v>
      </c>
      <c r="B117" s="133">
        <f>+B114*C5/2</f>
        <v>30109.220648104427</v>
      </c>
    </row>
    <row r="118" spans="1:8" ht="14.4" x14ac:dyDescent="0.3">
      <c r="A118" s="137" t="s">
        <v>126</v>
      </c>
      <c r="B118" s="134">
        <f>+B115*C5/2</f>
        <v>21708.749382744998</v>
      </c>
    </row>
    <row r="119" spans="1:8" ht="15.6" x14ac:dyDescent="0.3">
      <c r="A119" s="128"/>
    </row>
    <row r="120" spans="1:8" ht="14.4" x14ac:dyDescent="0.3">
      <c r="A120" s="71"/>
      <c r="B120" s="23"/>
    </row>
    <row r="121" spans="1:8" ht="15.6" x14ac:dyDescent="0.3">
      <c r="A121" s="129" t="s">
        <v>127</v>
      </c>
    </row>
    <row r="122" spans="1:8" ht="15.6" x14ac:dyDescent="0.3">
      <c r="A122" s="129"/>
    </row>
    <row r="123" spans="1:8" ht="14.4" x14ac:dyDescent="0.3">
      <c r="A123" s="71" t="s">
        <v>128</v>
      </c>
      <c r="B123" s="71">
        <v>250</v>
      </c>
    </row>
    <row r="124" spans="1:8" x14ac:dyDescent="0.25">
      <c r="A124" t="s">
        <v>129</v>
      </c>
      <c r="B124">
        <f>+B123/30</f>
        <v>8.3333333333333339</v>
      </c>
    </row>
    <row r="126" spans="1:8" ht="39.6" x14ac:dyDescent="0.25">
      <c r="G126" s="2" t="s">
        <v>130</v>
      </c>
      <c r="H126" s="138" t="s">
        <v>131</v>
      </c>
    </row>
    <row r="127" spans="1:8" x14ac:dyDescent="0.25">
      <c r="A127" s="40" t="s">
        <v>132</v>
      </c>
      <c r="C127" s="4" t="s">
        <v>133</v>
      </c>
      <c r="D127" s="4" t="s">
        <v>134</v>
      </c>
      <c r="G127" s="139" t="s">
        <v>135</v>
      </c>
      <c r="H127" s="140">
        <v>37150.800000000003</v>
      </c>
    </row>
    <row r="128" spans="1:8" x14ac:dyDescent="0.25">
      <c r="A128" s="141" t="s">
        <v>136</v>
      </c>
      <c r="B128" s="131" t="s">
        <v>137</v>
      </c>
      <c r="C128">
        <v>15.413</v>
      </c>
      <c r="D128" s="142" t="s">
        <v>138</v>
      </c>
      <c r="G128" s="139" t="s">
        <v>139</v>
      </c>
      <c r="H128" s="140">
        <v>6810.98</v>
      </c>
    </row>
    <row r="129" spans="1:8" x14ac:dyDescent="0.25">
      <c r="B129" s="57" t="s">
        <v>140</v>
      </c>
      <c r="C129">
        <v>403.31</v>
      </c>
      <c r="D129" s="142" t="s">
        <v>141</v>
      </c>
      <c r="G129" s="139" t="s">
        <v>142</v>
      </c>
      <c r="H129" s="140">
        <v>6564.8</v>
      </c>
    </row>
    <row r="130" spans="1:8" x14ac:dyDescent="0.25">
      <c r="B130" s="57" t="s">
        <v>143</v>
      </c>
      <c r="C130">
        <v>5836.53</v>
      </c>
      <c r="D130" s="142" t="s">
        <v>144</v>
      </c>
      <c r="G130" s="139" t="s">
        <v>145</v>
      </c>
      <c r="H130" s="140">
        <v>39388.800000000003</v>
      </c>
    </row>
    <row r="131" spans="1:8" x14ac:dyDescent="0.25">
      <c r="B131" s="57"/>
      <c r="D131" s="57"/>
      <c r="G131" s="139" t="s">
        <v>146</v>
      </c>
      <c r="H131" s="140">
        <v>24170.400000000001</v>
      </c>
    </row>
    <row r="132" spans="1:8" x14ac:dyDescent="0.25">
      <c r="B132" s="141" t="s">
        <v>147</v>
      </c>
      <c r="C132" s="31">
        <v>300</v>
      </c>
      <c r="D132" s="143" t="s">
        <v>148</v>
      </c>
      <c r="G132" s="139" t="s">
        <v>149</v>
      </c>
      <c r="H132" s="140">
        <v>1372.64</v>
      </c>
    </row>
    <row r="133" spans="1:8" x14ac:dyDescent="0.25">
      <c r="D133" s="3"/>
      <c r="G133" s="139" t="s">
        <v>150</v>
      </c>
      <c r="H133" s="140">
        <v>2387.1999999999998</v>
      </c>
    </row>
    <row r="134" spans="1:8" x14ac:dyDescent="0.25">
      <c r="C134" s="3" t="s">
        <v>151</v>
      </c>
      <c r="D134" s="3"/>
      <c r="G134" s="139" t="s">
        <v>152</v>
      </c>
      <c r="H134" s="140">
        <v>65349.599999999999</v>
      </c>
    </row>
    <row r="135" spans="1:8" x14ac:dyDescent="0.25">
      <c r="A135" s="144" t="s">
        <v>93</v>
      </c>
      <c r="B135" s="47" t="s">
        <v>153</v>
      </c>
      <c r="C135" s="51">
        <v>0.96</v>
      </c>
      <c r="D135" s="145">
        <f>C135*H139</f>
        <v>203213.01120000001</v>
      </c>
      <c r="E135" s="131" t="s">
        <v>154</v>
      </c>
      <c r="G135" s="139" t="s">
        <v>155</v>
      </c>
      <c r="H135" s="140">
        <v>7200</v>
      </c>
    </row>
    <row r="136" spans="1:8" x14ac:dyDescent="0.25">
      <c r="A136" s="146"/>
      <c r="B136" s="52" t="s">
        <v>156</v>
      </c>
      <c r="C136" s="23">
        <v>0.04</v>
      </c>
      <c r="D136" s="147">
        <f>+C136*H139</f>
        <v>8467.2088000000003</v>
      </c>
      <c r="E136" s="10" t="s">
        <v>157</v>
      </c>
      <c r="G136" s="139" t="s">
        <v>158</v>
      </c>
      <c r="H136" s="140">
        <v>960</v>
      </c>
    </row>
    <row r="137" spans="1:8" x14ac:dyDescent="0.25">
      <c r="A137" s="146"/>
      <c r="B137" s="52"/>
      <c r="D137" s="3"/>
      <c r="E137" s="10"/>
      <c r="G137" s="139" t="s">
        <v>159</v>
      </c>
      <c r="H137" s="140">
        <v>1125</v>
      </c>
    </row>
    <row r="138" spans="1:8" x14ac:dyDescent="0.25">
      <c r="A138" s="146"/>
      <c r="B138" s="52" t="s">
        <v>160</v>
      </c>
      <c r="C138" s="148">
        <f>+B124</f>
        <v>8.3333333333333339</v>
      </c>
      <c r="D138" s="147">
        <f>+D135/C138</f>
        <v>24385.561343999998</v>
      </c>
      <c r="E138" s="10" t="s">
        <v>161</v>
      </c>
      <c r="G138" s="149" t="s">
        <v>162</v>
      </c>
      <c r="H138" s="150">
        <v>19200</v>
      </c>
    </row>
    <row r="139" spans="1:8" x14ac:dyDescent="0.25">
      <c r="A139" s="146"/>
      <c r="B139" s="52" t="s">
        <v>163</v>
      </c>
      <c r="C139" s="148">
        <f>+B124</f>
        <v>8.3333333333333339</v>
      </c>
      <c r="D139" s="147">
        <f>+D136/C139</f>
        <v>1016.0650559999999</v>
      </c>
      <c r="E139" s="10" t="s">
        <v>164</v>
      </c>
      <c r="G139" s="151"/>
      <c r="H139" s="152">
        <f>+SUM(H127:H138)</f>
        <v>211680.22</v>
      </c>
    </row>
    <row r="140" spans="1:8" x14ac:dyDescent="0.25">
      <c r="A140" s="146"/>
      <c r="B140" s="52"/>
      <c r="D140" s="3"/>
      <c r="E140" s="10"/>
    </row>
    <row r="141" spans="1:8" x14ac:dyDescent="0.25">
      <c r="A141" s="146"/>
      <c r="B141" s="52" t="s">
        <v>165</v>
      </c>
      <c r="D141" s="148">
        <f>+D138*C128</f>
        <v>375854.65699507197</v>
      </c>
      <c r="E141" s="10" t="s">
        <v>166</v>
      </c>
    </row>
    <row r="142" spans="1:8" x14ac:dyDescent="0.25">
      <c r="A142" s="146"/>
      <c r="B142" s="52" t="s">
        <v>167</v>
      </c>
      <c r="D142" s="148">
        <f>+C128*D139</f>
        <v>15660.610708127999</v>
      </c>
      <c r="E142" s="10" t="s">
        <v>166</v>
      </c>
    </row>
    <row r="143" spans="1:8" x14ac:dyDescent="0.25">
      <c r="A143" s="146"/>
      <c r="B143" s="52" t="s">
        <v>168</v>
      </c>
      <c r="C143" s="23">
        <v>0.5</v>
      </c>
      <c r="D143" s="148">
        <f>+C130*C143</f>
        <v>2918.2649999999999</v>
      </c>
      <c r="E143" s="10" t="s">
        <v>166</v>
      </c>
    </row>
    <row r="144" spans="1:8" x14ac:dyDescent="0.25">
      <c r="A144" s="146"/>
      <c r="B144" s="52" t="s">
        <v>169</v>
      </c>
      <c r="C144" s="23">
        <v>0.5</v>
      </c>
      <c r="D144" s="148">
        <f>+C130*C144</f>
        <v>2918.2649999999999</v>
      </c>
      <c r="E144" s="10" t="s">
        <v>166</v>
      </c>
    </row>
    <row r="145" spans="1:7" x14ac:dyDescent="0.25">
      <c r="A145" s="146"/>
      <c r="B145" s="52"/>
      <c r="C145" s="23"/>
      <c r="D145" s="148"/>
      <c r="E145" s="10"/>
    </row>
    <row r="146" spans="1:7" x14ac:dyDescent="0.25">
      <c r="A146" s="146"/>
      <c r="B146" s="52" t="s">
        <v>170</v>
      </c>
      <c r="D146" s="37">
        <f>+D141*$B$124</f>
        <v>3132122.1416255999</v>
      </c>
      <c r="E146" s="10" t="s">
        <v>171</v>
      </c>
    </row>
    <row r="147" spans="1:7" x14ac:dyDescent="0.25">
      <c r="A147" s="146"/>
      <c r="B147" s="52" t="s">
        <v>172</v>
      </c>
      <c r="D147" s="37">
        <f>+D142*$B$124</f>
        <v>130505.0892344</v>
      </c>
      <c r="E147" s="10" t="s">
        <v>171</v>
      </c>
    </row>
    <row r="148" spans="1:7" x14ac:dyDescent="0.25">
      <c r="A148" s="146"/>
      <c r="B148" s="52" t="s">
        <v>173</v>
      </c>
      <c r="C148" s="23"/>
      <c r="D148" s="37">
        <f>+D143*$B$124</f>
        <v>24318.875</v>
      </c>
      <c r="E148" s="10" t="s">
        <v>171</v>
      </c>
    </row>
    <row r="149" spans="1:7" x14ac:dyDescent="0.25">
      <c r="A149" s="153"/>
      <c r="B149" s="53" t="s">
        <v>174</v>
      </c>
      <c r="C149" s="33"/>
      <c r="D149" s="154">
        <f>+D144*$B$124</f>
        <v>24318.875</v>
      </c>
      <c r="E149" s="155" t="s">
        <v>171</v>
      </c>
    </row>
    <row r="150" spans="1:7" x14ac:dyDescent="0.25">
      <c r="D150" s="3"/>
    </row>
    <row r="151" spans="1:7" x14ac:dyDescent="0.25">
      <c r="B151" s="156" t="s">
        <v>175</v>
      </c>
      <c r="C151" s="157">
        <f>+B124</f>
        <v>8.3333333333333339</v>
      </c>
      <c r="D151" s="158">
        <f>+D146+D148</f>
        <v>3156441.0166255999</v>
      </c>
      <c r="E151" s="159" t="s">
        <v>176</v>
      </c>
      <c r="F151" s="37"/>
      <c r="G151" s="37"/>
    </row>
    <row r="152" spans="1:7" x14ac:dyDescent="0.25">
      <c r="B152" s="160" t="s">
        <v>177</v>
      </c>
      <c r="C152" s="161">
        <f>+B124</f>
        <v>8.3333333333333339</v>
      </c>
      <c r="D152" s="162">
        <f>+D147+D149</f>
        <v>154823.96423440002</v>
      </c>
      <c r="E152" s="163" t="s">
        <v>176</v>
      </c>
    </row>
    <row r="153" spans="1:7" x14ac:dyDescent="0.25">
      <c r="C153" s="104"/>
      <c r="D153" s="37"/>
    </row>
    <row r="154" spans="1:7" x14ac:dyDescent="0.25">
      <c r="A154" s="619" t="s">
        <v>178</v>
      </c>
      <c r="B154" t="s">
        <v>179</v>
      </c>
      <c r="C154" s="37">
        <f>+D146/C94</f>
        <v>1036.6219560762147</v>
      </c>
      <c r="D154" s="37" t="s">
        <v>123</v>
      </c>
    </row>
    <row r="155" spans="1:7" x14ac:dyDescent="0.25">
      <c r="A155" s="619"/>
      <c r="B155" t="s">
        <v>180</v>
      </c>
      <c r="C155" s="37">
        <f>+D151/C94</f>
        <v>1044.6706459523346</v>
      </c>
      <c r="D155" s="37" t="s">
        <v>123</v>
      </c>
    </row>
    <row r="156" spans="1:7" x14ac:dyDescent="0.25">
      <c r="A156" s="619"/>
      <c r="B156" t="s">
        <v>181</v>
      </c>
      <c r="C156" s="37">
        <f>+C155*C5</f>
        <v>12625.824135064544</v>
      </c>
      <c r="D156" s="37"/>
    </row>
    <row r="157" spans="1:7" x14ac:dyDescent="0.25">
      <c r="C157" s="104"/>
      <c r="D157" s="37"/>
    </row>
    <row r="158" spans="1:7" x14ac:dyDescent="0.25">
      <c r="C158" s="104"/>
      <c r="D158" s="37"/>
    </row>
    <row r="159" spans="1:7" x14ac:dyDescent="0.25">
      <c r="C159" s="104"/>
      <c r="D159" s="37"/>
    </row>
    <row r="160" spans="1:7" x14ac:dyDescent="0.25">
      <c r="D160" s="3"/>
    </row>
    <row r="161" spans="1:8" x14ac:dyDescent="0.25">
      <c r="A161" s="144" t="s">
        <v>92</v>
      </c>
      <c r="B161" s="20" t="s">
        <v>153</v>
      </c>
      <c r="C161" s="51">
        <v>0.95</v>
      </c>
      <c r="D161" s="145">
        <f>C161*D135</f>
        <v>193052.36064</v>
      </c>
      <c r="E161" s="131" t="s">
        <v>154</v>
      </c>
    </row>
    <row r="162" spans="1:8" x14ac:dyDescent="0.25">
      <c r="A162" s="146"/>
      <c r="B162" s="26" t="s">
        <v>156</v>
      </c>
      <c r="C162" s="23"/>
      <c r="D162" s="147">
        <f>+D136</f>
        <v>8467.2088000000003</v>
      </c>
      <c r="E162" s="10" t="s">
        <v>157</v>
      </c>
    </row>
    <row r="163" spans="1:8" x14ac:dyDescent="0.25">
      <c r="A163" s="146"/>
      <c r="B163" s="26"/>
      <c r="D163" s="3"/>
      <c r="E163" s="10"/>
      <c r="H163">
        <v>0</v>
      </c>
    </row>
    <row r="164" spans="1:8" x14ac:dyDescent="0.25">
      <c r="A164" s="146"/>
      <c r="B164" s="26" t="s">
        <v>160</v>
      </c>
      <c r="C164" s="148">
        <f>+B124</f>
        <v>8.3333333333333339</v>
      </c>
      <c r="D164" s="147">
        <f>+D161/C164</f>
        <v>23166.283276799997</v>
      </c>
      <c r="E164" s="10" t="s">
        <v>161</v>
      </c>
    </row>
    <row r="165" spans="1:8" x14ac:dyDescent="0.25">
      <c r="A165" s="146"/>
      <c r="B165" s="26" t="s">
        <v>163</v>
      </c>
      <c r="C165" s="148">
        <f>+B124</f>
        <v>8.3333333333333339</v>
      </c>
      <c r="D165" s="147">
        <f>+D162/C165</f>
        <v>1016.0650559999999</v>
      </c>
      <c r="E165" s="10" t="s">
        <v>164</v>
      </c>
    </row>
    <row r="166" spans="1:8" x14ac:dyDescent="0.25">
      <c r="A166" s="146"/>
      <c r="B166" s="26"/>
      <c r="D166" s="3"/>
      <c r="E166" s="10"/>
    </row>
    <row r="167" spans="1:8" x14ac:dyDescent="0.25">
      <c r="A167" s="146"/>
      <c r="B167" s="26" t="s">
        <v>165</v>
      </c>
      <c r="D167" s="148">
        <f>+D164*C128</f>
        <v>357061.92414531833</v>
      </c>
      <c r="E167" s="10" t="s">
        <v>166</v>
      </c>
    </row>
    <row r="168" spans="1:8" x14ac:dyDescent="0.25">
      <c r="A168" s="146"/>
      <c r="B168" s="26" t="s">
        <v>167</v>
      </c>
      <c r="D168" s="148">
        <f>+C128*D165</f>
        <v>15660.610708127999</v>
      </c>
      <c r="E168" s="10" t="s">
        <v>166</v>
      </c>
    </row>
    <row r="169" spans="1:8" x14ac:dyDescent="0.25">
      <c r="A169" s="146"/>
      <c r="B169" s="26" t="s">
        <v>168</v>
      </c>
      <c r="C169" s="23">
        <v>0.5</v>
      </c>
      <c r="D169" s="148">
        <f>+$C$130*C169</f>
        <v>2918.2649999999999</v>
      </c>
      <c r="E169" s="10" t="s">
        <v>166</v>
      </c>
    </row>
    <row r="170" spans="1:8" x14ac:dyDescent="0.25">
      <c r="A170" s="146"/>
      <c r="B170" s="26" t="s">
        <v>169</v>
      </c>
      <c r="C170" s="23">
        <v>0.5</v>
      </c>
      <c r="D170" s="148">
        <f>+$C$130*C170</f>
        <v>2918.2649999999999</v>
      </c>
      <c r="E170" s="10" t="s">
        <v>166</v>
      </c>
    </row>
    <row r="171" spans="1:8" x14ac:dyDescent="0.25">
      <c r="A171" s="146"/>
      <c r="B171" s="26"/>
      <c r="C171" s="23"/>
      <c r="D171" s="3"/>
      <c r="E171" s="10"/>
    </row>
    <row r="172" spans="1:8" x14ac:dyDescent="0.25">
      <c r="A172" s="146"/>
      <c r="B172" s="26" t="s">
        <v>170</v>
      </c>
      <c r="C172" s="23"/>
      <c r="D172" s="37">
        <f>+D167*$B$124</f>
        <v>2975516.0345443198</v>
      </c>
      <c r="E172" s="10" t="s">
        <v>171</v>
      </c>
    </row>
    <row r="173" spans="1:8" x14ac:dyDescent="0.25">
      <c r="A173" s="146"/>
      <c r="B173" s="26" t="s">
        <v>172</v>
      </c>
      <c r="C173" s="23"/>
      <c r="D173" s="37">
        <f>+D168*$B$124</f>
        <v>130505.0892344</v>
      </c>
      <c r="E173" s="10" t="s">
        <v>171</v>
      </c>
    </row>
    <row r="174" spans="1:8" x14ac:dyDescent="0.25">
      <c r="A174" s="146"/>
      <c r="B174" s="26" t="s">
        <v>173</v>
      </c>
      <c r="C174" s="23"/>
      <c r="D174" s="37">
        <f>+D169*$B$124</f>
        <v>24318.875</v>
      </c>
      <c r="E174" s="10" t="s">
        <v>171</v>
      </c>
    </row>
    <row r="175" spans="1:8" x14ac:dyDescent="0.25">
      <c r="A175" s="153"/>
      <c r="B175" s="29" t="s">
        <v>174</v>
      </c>
      <c r="C175" s="33"/>
      <c r="D175" s="154">
        <f>+D170*$B$124</f>
        <v>24318.875</v>
      </c>
      <c r="E175" s="155" t="s">
        <v>171</v>
      </c>
    </row>
    <row r="176" spans="1:8" x14ac:dyDescent="0.25">
      <c r="C176" s="23"/>
      <c r="D176" s="3"/>
    </row>
    <row r="177" spans="1:10" x14ac:dyDescent="0.25">
      <c r="B177" s="156" t="s">
        <v>175</v>
      </c>
      <c r="C177" s="157">
        <f>+B124</f>
        <v>8.3333333333333339</v>
      </c>
      <c r="D177" s="158">
        <f>+D172+D174</f>
        <v>2999834.9095443198</v>
      </c>
      <c r="E177" s="159" t="s">
        <v>176</v>
      </c>
    </row>
    <row r="178" spans="1:10" x14ac:dyDescent="0.25">
      <c r="B178" s="160" t="s">
        <v>177</v>
      </c>
      <c r="C178" s="161">
        <f>+B124</f>
        <v>8.3333333333333339</v>
      </c>
      <c r="D178" s="162">
        <f>+D173+D175</f>
        <v>154823.96423440002</v>
      </c>
      <c r="E178" s="163" t="s">
        <v>176</v>
      </c>
    </row>
    <row r="179" spans="1:10" x14ac:dyDescent="0.25">
      <c r="D179" s="3"/>
    </row>
    <row r="180" spans="1:10" x14ac:dyDescent="0.25">
      <c r="D180" s="3"/>
    </row>
    <row r="181" spans="1:10" x14ac:dyDescent="0.25">
      <c r="A181" s="620" t="s">
        <v>92</v>
      </c>
      <c r="B181" s="47" t="s">
        <v>182</v>
      </c>
      <c r="C181" s="164">
        <f>+D174/B94</f>
        <v>11.163230784767361</v>
      </c>
      <c r="D181" s="165" t="s">
        <v>123</v>
      </c>
      <c r="G181" s="20" t="s">
        <v>118</v>
      </c>
      <c r="H181" s="49"/>
      <c r="I181" s="20" t="s">
        <v>119</v>
      </c>
      <c r="J181" s="131"/>
    </row>
    <row r="182" spans="1:10" x14ac:dyDescent="0.25">
      <c r="A182" s="620"/>
      <c r="B182" s="52" t="s">
        <v>180</v>
      </c>
      <c r="C182" s="37">
        <f>+D177/B94</f>
        <v>1377.0311912637801</v>
      </c>
      <c r="D182" s="166" t="s">
        <v>123</v>
      </c>
      <c r="E182" s="3"/>
      <c r="F182" s="3"/>
      <c r="G182" s="134">
        <f>+'E-Inv AF y Am'!G128*H182</f>
        <v>0</v>
      </c>
      <c r="H182" s="33">
        <v>0.05</v>
      </c>
      <c r="I182" s="134">
        <f>+'E-Inv AF y Am'!G128*J182</f>
        <v>0</v>
      </c>
      <c r="J182" s="135">
        <v>0.05</v>
      </c>
    </row>
    <row r="183" spans="1:10" x14ac:dyDescent="0.25">
      <c r="A183" s="620"/>
      <c r="B183" s="52" t="s">
        <v>183</v>
      </c>
      <c r="C183" s="37">
        <f>+C181*C5</f>
        <v>134.91810956277428</v>
      </c>
      <c r="D183" s="166"/>
    </row>
    <row r="184" spans="1:10" x14ac:dyDescent="0.25">
      <c r="A184" s="620"/>
      <c r="B184" s="52" t="s">
        <v>184</v>
      </c>
      <c r="C184" s="37">
        <f>+C181*B94</f>
        <v>24318.875</v>
      </c>
      <c r="D184" s="167"/>
    </row>
    <row r="185" spans="1:10" x14ac:dyDescent="0.25">
      <c r="A185" s="620"/>
      <c r="B185" s="52" t="s">
        <v>185</v>
      </c>
      <c r="C185" s="37">
        <f>+C154*C5</f>
        <v>12528.548172264876</v>
      </c>
      <c r="D185" s="167"/>
    </row>
    <row r="186" spans="1:10" x14ac:dyDescent="0.25">
      <c r="A186" s="620"/>
      <c r="B186" s="52" t="s">
        <v>186</v>
      </c>
      <c r="C186" s="37">
        <f>+C154*B94</f>
        <v>2258260.1988729122</v>
      </c>
      <c r="D186" s="167"/>
    </row>
    <row r="187" spans="1:10" x14ac:dyDescent="0.25">
      <c r="A187" s="620"/>
      <c r="B187" s="53" t="s">
        <v>187</v>
      </c>
      <c r="C187" s="154">
        <f>+D177-C186-C185</f>
        <v>729046.16249914281</v>
      </c>
      <c r="D187" s="168"/>
    </row>
    <row r="188" spans="1:10" ht="12" customHeight="1" x14ac:dyDescent="0.25">
      <c r="D188" s="169"/>
    </row>
    <row r="189" spans="1:10" ht="15" customHeight="1" x14ac:dyDescent="0.25">
      <c r="B189" s="47" t="s">
        <v>188</v>
      </c>
      <c r="C189" s="165">
        <f>+C186+C184</f>
        <v>2282579.0738729122</v>
      </c>
      <c r="D189" s="169"/>
    </row>
    <row r="190" spans="1:10" x14ac:dyDescent="0.25">
      <c r="B190" s="52" t="s">
        <v>189</v>
      </c>
      <c r="C190" s="166">
        <f>+C185+C183</f>
        <v>12663.46628182765</v>
      </c>
      <c r="D190" s="169"/>
    </row>
    <row r="191" spans="1:10" x14ac:dyDescent="0.25">
      <c r="B191" s="53" t="s">
        <v>187</v>
      </c>
      <c r="C191" s="170">
        <f>+C187</f>
        <v>729046.16249914281</v>
      </c>
      <c r="D191" s="169"/>
    </row>
    <row r="192" spans="1:10" x14ac:dyDescent="0.25">
      <c r="D192" s="169"/>
    </row>
    <row r="193" spans="1:11" x14ac:dyDescent="0.25">
      <c r="D193" s="169"/>
    </row>
    <row r="194" spans="1:11" x14ac:dyDescent="0.25">
      <c r="D194" s="169"/>
    </row>
    <row r="195" spans="1:11" ht="15.6" x14ac:dyDescent="0.3">
      <c r="A195" s="129" t="s">
        <v>190</v>
      </c>
      <c r="D195" s="169"/>
    </row>
    <row r="197" spans="1:11" ht="13.8" x14ac:dyDescent="0.3">
      <c r="A197" t="s">
        <v>191</v>
      </c>
      <c r="B197" s="171">
        <v>0.9</v>
      </c>
    </row>
    <row r="198" spans="1:11" x14ac:dyDescent="0.25">
      <c r="A198" t="s">
        <v>192</v>
      </c>
      <c r="B198" s="23">
        <v>0.05</v>
      </c>
    </row>
    <row r="199" spans="1:11" ht="14.4" x14ac:dyDescent="0.25">
      <c r="A199" t="s">
        <v>193</v>
      </c>
      <c r="B199" s="23">
        <v>0.05</v>
      </c>
      <c r="C199" s="172"/>
    </row>
    <row r="201" spans="1:11" ht="13.8" x14ac:dyDescent="0.3">
      <c r="A201" s="47" t="s">
        <v>194</v>
      </c>
      <c r="B201" s="173">
        <f>+'E-Inv AF y Am'!B7+'E-Inv AF y Am'!B8</f>
        <v>207777834.88000003</v>
      </c>
      <c r="C201" s="174"/>
      <c r="E201" s="20" t="s">
        <v>195</v>
      </c>
      <c r="F201" s="49"/>
      <c r="G201" s="20" t="s">
        <v>196</v>
      </c>
      <c r="H201" s="131"/>
    </row>
    <row r="202" spans="1:11" ht="13.8" x14ac:dyDescent="0.3">
      <c r="A202" s="52" t="s">
        <v>197</v>
      </c>
      <c r="B202" s="133">
        <f>B197*C202*B201</f>
        <v>1496000.4111360004</v>
      </c>
      <c r="C202" s="175">
        <v>8.0000000000000002E-3</v>
      </c>
      <c r="D202" s="176"/>
      <c r="E202" s="134">
        <f>+B204*F202</f>
        <v>168300.04625280004</v>
      </c>
      <c r="F202" s="33">
        <f>+B198</f>
        <v>0.05</v>
      </c>
      <c r="G202" s="134">
        <f>+H202*B204</f>
        <v>168300.04625280004</v>
      </c>
      <c r="H202" s="135">
        <f>+B199</f>
        <v>0.05</v>
      </c>
      <c r="I202" s="177"/>
    </row>
    <row r="203" spans="1:11" ht="13.8" x14ac:dyDescent="0.3">
      <c r="A203" s="53" t="s">
        <v>198</v>
      </c>
      <c r="B203" s="134">
        <f>B201*C203*B197</f>
        <v>1870000.5139200003</v>
      </c>
      <c r="C203" s="175">
        <v>0.01</v>
      </c>
      <c r="D203" s="176"/>
      <c r="J203" s="178"/>
    </row>
    <row r="204" spans="1:11" ht="13.8" x14ac:dyDescent="0.3">
      <c r="A204" s="53" t="s">
        <v>199</v>
      </c>
      <c r="B204" s="134">
        <f>B202+B203</f>
        <v>3366000.9250560007</v>
      </c>
      <c r="I204" s="178"/>
      <c r="J204" s="178"/>
      <c r="K204" s="179"/>
    </row>
    <row r="205" spans="1:11" ht="13.8" x14ac:dyDescent="0.3">
      <c r="A205" s="111" t="s">
        <v>200</v>
      </c>
      <c r="B205" s="180">
        <f>+B204*B197</f>
        <v>3029400.8325504009</v>
      </c>
      <c r="I205" s="178"/>
      <c r="J205" s="178"/>
      <c r="K205" s="179"/>
    </row>
    <row r="206" spans="1:11" ht="13.8" x14ac:dyDescent="0.3">
      <c r="C206" s="181"/>
      <c r="E206" s="178"/>
      <c r="I206" s="178"/>
      <c r="J206" s="182"/>
      <c r="K206" s="182"/>
    </row>
    <row r="207" spans="1:11" ht="13.8" x14ac:dyDescent="0.3">
      <c r="B207" s="2" t="s">
        <v>92</v>
      </c>
      <c r="C207" s="183" t="s">
        <v>178</v>
      </c>
      <c r="E207" s="178"/>
      <c r="I207" s="178"/>
      <c r="J207" s="182"/>
      <c r="K207" s="182"/>
    </row>
    <row r="208" spans="1:11" x14ac:dyDescent="0.25">
      <c r="A208" s="20" t="s">
        <v>201</v>
      </c>
      <c r="B208" s="184">
        <f>+B205/B94</f>
        <v>1390.6030041819988</v>
      </c>
      <c r="C208" s="166">
        <f>+B205/C94</f>
        <v>1002.6248258464923</v>
      </c>
      <c r="D208" t="s">
        <v>202</v>
      </c>
    </row>
    <row r="209" spans="1:10" ht="13.8" x14ac:dyDescent="0.3">
      <c r="A209" s="29" t="s">
        <v>203</v>
      </c>
      <c r="B209" s="185">
        <f>+B208*C5</f>
        <v>16806.740995855875</v>
      </c>
      <c r="C209" s="170">
        <f>+C208*C5</f>
        <v>12117.660981129091</v>
      </c>
      <c r="J209" s="178"/>
    </row>
    <row r="210" spans="1:10" ht="13.8" x14ac:dyDescent="0.3">
      <c r="B210" s="37"/>
      <c r="C210" s="37"/>
      <c r="J210" s="178"/>
    </row>
    <row r="213" spans="1:10" ht="15.6" x14ac:dyDescent="0.3">
      <c r="A213" s="129" t="s">
        <v>204</v>
      </c>
      <c r="D213" s="556">
        <v>1</v>
      </c>
    </row>
    <row r="214" spans="1:10" x14ac:dyDescent="0.25">
      <c r="C214" s="2" t="s">
        <v>92</v>
      </c>
      <c r="D214" s="183" t="s">
        <v>178</v>
      </c>
    </row>
    <row r="215" spans="1:10" x14ac:dyDescent="0.25">
      <c r="A215" s="186" t="s">
        <v>205</v>
      </c>
      <c r="B215" s="187">
        <v>0.01</v>
      </c>
      <c r="C215" s="133">
        <f>+D215*$D$213</f>
        <v>2880456.4859719165</v>
      </c>
      <c r="D215" s="166">
        <f>+$B$215*'E-Inv AF y Am'!$B$21</f>
        <v>2880456.4859719165</v>
      </c>
    </row>
    <row r="216" spans="1:10" x14ac:dyDescent="0.25">
      <c r="A216" s="188" t="s">
        <v>206</v>
      </c>
      <c r="B216" s="189">
        <v>0.01</v>
      </c>
      <c r="C216" s="133">
        <f t="shared" ref="C216:C218" si="2">+D216*$D$213</f>
        <v>2880456.4859719165</v>
      </c>
      <c r="D216" s="166">
        <f>+$B$215*'E-Inv AF y Am'!$B$21</f>
        <v>2880456.4859719165</v>
      </c>
    </row>
    <row r="217" spans="1:10" x14ac:dyDescent="0.25">
      <c r="A217" s="188" t="s">
        <v>207</v>
      </c>
      <c r="B217" s="189">
        <v>1.4999999999999999E-2</v>
      </c>
      <c r="C217" s="133">
        <f t="shared" si="2"/>
        <v>8481606.0910630375</v>
      </c>
      <c r="D217" s="28">
        <f>+B217*C101</f>
        <v>8481606.0910630375</v>
      </c>
    </row>
    <row r="218" spans="1:10" x14ac:dyDescent="0.25">
      <c r="A218" s="190" t="s">
        <v>5</v>
      </c>
      <c r="B218" s="191">
        <v>0.02</v>
      </c>
      <c r="C218" s="133">
        <f t="shared" si="2"/>
        <v>650181.71400000004</v>
      </c>
      <c r="D218" s="192">
        <f>+B218*G25</f>
        <v>650181.71400000004</v>
      </c>
    </row>
    <row r="219" spans="1:10" x14ac:dyDescent="0.25">
      <c r="C219" s="193">
        <f>+SUM(C215:C218)</f>
        <v>14892700.77700687</v>
      </c>
      <c r="D219" s="194">
        <f>+SUM(D215:D218)</f>
        <v>14892700.77700687</v>
      </c>
    </row>
    <row r="220" spans="1:10" x14ac:dyDescent="0.25">
      <c r="B220" s="20" t="s">
        <v>208</v>
      </c>
      <c r="C220" s="195">
        <f>+C219*0.9</f>
        <v>13403430.699306183</v>
      </c>
      <c r="D220" s="173">
        <f>+D219*0.9</f>
        <v>13403430.699306183</v>
      </c>
    </row>
    <row r="221" spans="1:10" x14ac:dyDescent="0.25">
      <c r="B221" s="26" t="s">
        <v>209</v>
      </c>
      <c r="C221" s="133">
        <f>+C219*0.05</f>
        <v>744635.03885034355</v>
      </c>
      <c r="D221" s="133">
        <f>+D219*0.05</f>
        <v>744635.03885034355</v>
      </c>
    </row>
    <row r="222" spans="1:10" x14ac:dyDescent="0.25">
      <c r="B222" s="29" t="s">
        <v>210</v>
      </c>
      <c r="C222" s="134">
        <f>+C219*0.05</f>
        <v>744635.03885034355</v>
      </c>
      <c r="D222" s="134">
        <f>+D219*0.05</f>
        <v>744635.03885034355</v>
      </c>
    </row>
    <row r="223" spans="1:10" x14ac:dyDescent="0.25">
      <c r="C223" s="37"/>
      <c r="D223" s="37"/>
    </row>
    <row r="224" spans="1:10" x14ac:dyDescent="0.25">
      <c r="A224" t="s">
        <v>211</v>
      </c>
      <c r="B224" s="37">
        <f>+D220/C94</f>
        <v>4436.0628102566579</v>
      </c>
      <c r="C224" s="37"/>
    </row>
    <row r="225" spans="1:7" x14ac:dyDescent="0.25">
      <c r="C225" s="19" t="s">
        <v>92</v>
      </c>
      <c r="D225" s="18" t="s">
        <v>178</v>
      </c>
    </row>
    <row r="226" spans="1:7" x14ac:dyDescent="0.25">
      <c r="B226" s="196" t="s">
        <v>212</v>
      </c>
      <c r="C226" s="197">
        <f>+C5*B224</f>
        <v>53613.97787083633</v>
      </c>
      <c r="D226" s="165">
        <f>+C5*B224</f>
        <v>53613.97787083633</v>
      </c>
    </row>
    <row r="227" spans="1:7" x14ac:dyDescent="0.25">
      <c r="B227" s="198" t="s">
        <v>213</v>
      </c>
      <c r="C227" s="199">
        <f>+B224*B94</f>
        <v>9663874.1108879242</v>
      </c>
      <c r="D227" s="166"/>
    </row>
    <row r="228" spans="1:7" x14ac:dyDescent="0.25">
      <c r="B228" s="200" t="s">
        <v>214</v>
      </c>
      <c r="C228" s="201">
        <f>+C220-C226-C227</f>
        <v>3685942.6105474215</v>
      </c>
      <c r="D228" s="170"/>
    </row>
    <row r="231" spans="1:7" ht="15.6" x14ac:dyDescent="0.3">
      <c r="A231" s="129" t="s">
        <v>215</v>
      </c>
    </row>
    <row r="232" spans="1:7" x14ac:dyDescent="0.25">
      <c r="B232" s="2" t="s">
        <v>92</v>
      </c>
      <c r="C232" s="183" t="s">
        <v>178</v>
      </c>
    </row>
    <row r="233" spans="1:7" x14ac:dyDescent="0.25">
      <c r="A233" s="20" t="s">
        <v>216</v>
      </c>
      <c r="B233" s="197">
        <f>+($F$233+$F$234)*0.1*12</f>
        <v>22800</v>
      </c>
      <c r="C233" s="165">
        <f>+($F$233+$F$234)*0.1*12</f>
        <v>22800</v>
      </c>
      <c r="E233" t="s">
        <v>217</v>
      </c>
      <c r="F233" s="37">
        <v>7000</v>
      </c>
      <c r="G233" t="s">
        <v>218</v>
      </c>
    </row>
    <row r="234" spans="1:7" x14ac:dyDescent="0.25">
      <c r="A234" s="26" t="s">
        <v>219</v>
      </c>
      <c r="B234" s="184">
        <f>+($F$233+$F$234)*0.45*12</f>
        <v>102600</v>
      </c>
      <c r="C234" s="166">
        <f>+($F$233+$F$234)*0.45*12</f>
        <v>102600</v>
      </c>
      <c r="E234" t="s">
        <v>220</v>
      </c>
      <c r="F234" s="37">
        <v>12000</v>
      </c>
      <c r="G234" t="s">
        <v>218</v>
      </c>
    </row>
    <row r="235" spans="1:7" x14ac:dyDescent="0.25">
      <c r="A235" s="29" t="s">
        <v>221</v>
      </c>
      <c r="B235" s="185">
        <f>+($F$233+$F$234)*0.45*12</f>
        <v>102600</v>
      </c>
      <c r="C235" s="170">
        <f>+($F$233+$F$234)*0.45*12</f>
        <v>102600</v>
      </c>
    </row>
    <row r="236" spans="1:7" x14ac:dyDescent="0.25">
      <c r="B236" s="202">
        <f>+SUM(B233:B235)</f>
        <v>228000</v>
      </c>
      <c r="C236" s="202">
        <f>+SUM(C233:C235)</f>
        <v>228000</v>
      </c>
    </row>
    <row r="237" spans="1:7" x14ac:dyDescent="0.25">
      <c r="B237" s="202"/>
      <c r="C237" s="202"/>
    </row>
    <row r="238" spans="1:7" x14ac:dyDescent="0.25">
      <c r="B238" s="202"/>
      <c r="C238" s="202"/>
    </row>
    <row r="239" spans="1:7" x14ac:dyDescent="0.25">
      <c r="B239" s="2" t="s">
        <v>92</v>
      </c>
      <c r="C239" s="183" t="s">
        <v>178</v>
      </c>
    </row>
    <row r="240" spans="1:7" x14ac:dyDescent="0.25">
      <c r="A240" s="20" t="s">
        <v>201</v>
      </c>
      <c r="B240" s="184">
        <f>+B233/B94</f>
        <v>10.466012999889831</v>
      </c>
      <c r="C240" s="166">
        <f>+C233/C94</f>
        <v>7.5459958232251196</v>
      </c>
      <c r="D240" t="s">
        <v>202</v>
      </c>
    </row>
    <row r="241" spans="1:7" x14ac:dyDescent="0.25">
      <c r="A241" s="29" t="s">
        <v>222</v>
      </c>
      <c r="B241" s="185">
        <f>+B240*C5</f>
        <v>126.491578990856</v>
      </c>
      <c r="C241" s="170">
        <f>+C240*C5</f>
        <v>91.20043389475984</v>
      </c>
    </row>
    <row r="242" spans="1:7" x14ac:dyDescent="0.25">
      <c r="B242" s="202"/>
      <c r="C242" s="202"/>
    </row>
    <row r="243" spans="1:7" x14ac:dyDescent="0.25">
      <c r="B243" s="202"/>
      <c r="C243" s="202"/>
    </row>
    <row r="245" spans="1:7" ht="15.6" x14ac:dyDescent="0.3">
      <c r="A245" s="129" t="s">
        <v>223</v>
      </c>
    </row>
    <row r="246" spans="1:7" x14ac:dyDescent="0.25">
      <c r="B246" s="2" t="s">
        <v>92</v>
      </c>
      <c r="C246" s="183" t="s">
        <v>178</v>
      </c>
    </row>
    <row r="247" spans="1:7" x14ac:dyDescent="0.25">
      <c r="A247" s="55" t="s">
        <v>224</v>
      </c>
      <c r="B247" s="203">
        <f>F247*12</f>
        <v>360000</v>
      </c>
      <c r="C247" s="180">
        <f>+F247*12</f>
        <v>360000</v>
      </c>
      <c r="E247" t="s">
        <v>225</v>
      </c>
      <c r="F247" s="37">
        <v>30000</v>
      </c>
      <c r="G247" t="s">
        <v>226</v>
      </c>
    </row>
    <row r="249" spans="1:7" x14ac:dyDescent="0.25">
      <c r="B249" s="2" t="s">
        <v>92</v>
      </c>
      <c r="C249" s="183" t="s">
        <v>178</v>
      </c>
    </row>
    <row r="250" spans="1:7" x14ac:dyDescent="0.25">
      <c r="A250" s="20" t="s">
        <v>201</v>
      </c>
      <c r="B250" s="184">
        <f>+B247/B94</f>
        <v>165.25283684036575</v>
      </c>
      <c r="C250" s="166">
        <f>+C247/C94</f>
        <v>119.14730247197556</v>
      </c>
      <c r="D250" t="s">
        <v>202</v>
      </c>
    </row>
    <row r="251" spans="1:7" x14ac:dyDescent="0.25">
      <c r="A251" s="29" t="s">
        <v>222</v>
      </c>
      <c r="B251" s="185">
        <f>+B250*C5</f>
        <v>1997.2354577503579</v>
      </c>
      <c r="C251" s="170">
        <f>+C250*C5</f>
        <v>1440.0068509698922</v>
      </c>
    </row>
    <row r="254" spans="1:7" ht="30" x14ac:dyDescent="0.25">
      <c r="A254" s="204" t="s">
        <v>227</v>
      </c>
    </row>
    <row r="256" spans="1:7" x14ac:dyDescent="0.25">
      <c r="B256" s="2" t="s">
        <v>92</v>
      </c>
      <c r="C256" s="183" t="s">
        <v>178</v>
      </c>
    </row>
    <row r="257" spans="1:7" x14ac:dyDescent="0.25">
      <c r="A257" s="55" t="s">
        <v>224</v>
      </c>
      <c r="B257" s="203">
        <f>F257*12</f>
        <v>180000</v>
      </c>
      <c r="C257" s="180">
        <f>+F257*12</f>
        <v>180000</v>
      </c>
      <c r="E257" t="s">
        <v>228</v>
      </c>
      <c r="F257" s="205">
        <v>15000</v>
      </c>
      <c r="G257" t="s">
        <v>229</v>
      </c>
    </row>
    <row r="259" spans="1:7" x14ac:dyDescent="0.25">
      <c r="B259" s="2" t="s">
        <v>92</v>
      </c>
      <c r="C259" s="183" t="s">
        <v>178</v>
      </c>
    </row>
    <row r="260" spans="1:7" x14ac:dyDescent="0.25">
      <c r="A260" s="20" t="s">
        <v>201</v>
      </c>
      <c r="B260" s="184">
        <f>+B257/B94</f>
        <v>82.626418420182873</v>
      </c>
      <c r="C260" s="166">
        <f>+C257/C94</f>
        <v>59.573651235987782</v>
      </c>
    </row>
    <row r="261" spans="1:7" x14ac:dyDescent="0.25">
      <c r="A261" s="29" t="s">
        <v>222</v>
      </c>
      <c r="B261" s="185">
        <f>+C5*B260</f>
        <v>998.61772887517895</v>
      </c>
      <c r="C261" s="170">
        <f>+C5*C260</f>
        <v>720.00342548494609</v>
      </c>
    </row>
    <row r="264" spans="1:7" ht="15" x14ac:dyDescent="0.25">
      <c r="A264" s="204" t="s">
        <v>230</v>
      </c>
    </row>
    <row r="266" spans="1:7" x14ac:dyDescent="0.25">
      <c r="A266" t="s">
        <v>231</v>
      </c>
      <c r="B266" s="37">
        <v>150000</v>
      </c>
      <c r="C266" t="s">
        <v>166</v>
      </c>
    </row>
    <row r="267" spans="1:7" x14ac:dyDescent="0.25">
      <c r="A267" s="20" t="s">
        <v>232</v>
      </c>
      <c r="B267" s="37">
        <f>+B266*12*0.5</f>
        <v>900000</v>
      </c>
    </row>
    <row r="268" spans="1:7" x14ac:dyDescent="0.25">
      <c r="A268" s="29" t="s">
        <v>233</v>
      </c>
      <c r="B268" s="37">
        <f>+B266*12*0.5</f>
        <v>900000</v>
      </c>
    </row>
    <row r="274" spans="1:7" ht="15" x14ac:dyDescent="0.25">
      <c r="A274" s="204" t="s">
        <v>234</v>
      </c>
    </row>
    <row r="276" spans="1:7" x14ac:dyDescent="0.25">
      <c r="B276" s="206" t="s">
        <v>235</v>
      </c>
      <c r="C276" s="207">
        <v>1</v>
      </c>
      <c r="D276" s="207">
        <v>2</v>
      </c>
      <c r="E276" s="207">
        <v>3</v>
      </c>
      <c r="F276" s="207">
        <v>4</v>
      </c>
      <c r="G276" s="208">
        <v>5</v>
      </c>
    </row>
    <row r="277" spans="1:7" x14ac:dyDescent="0.25">
      <c r="B277" s="206" t="s">
        <v>236</v>
      </c>
      <c r="C277" s="49">
        <v>29.05</v>
      </c>
      <c r="D277" s="49">
        <v>29.05</v>
      </c>
      <c r="E277" s="49">
        <v>29.05</v>
      </c>
      <c r="F277" s="49">
        <v>29.05</v>
      </c>
      <c r="G277" s="131">
        <v>29.05</v>
      </c>
    </row>
    <row r="278" spans="1:7" x14ac:dyDescent="0.25">
      <c r="B278" s="209" t="s">
        <v>237</v>
      </c>
      <c r="C278" s="37">
        <f>+C277*'E-Costos'!B121</f>
        <v>6920370.0623805085</v>
      </c>
      <c r="D278" s="37">
        <f>+D277*'E-Costos'!C121</f>
        <v>6821515.2591585089</v>
      </c>
      <c r="E278" s="37">
        <f>+E277*'E-Costos'!D121</f>
        <v>6516179.4648061823</v>
      </c>
      <c r="F278" s="37">
        <f>+F277*'E-Costos'!E121</f>
        <v>6822937.9261247208</v>
      </c>
      <c r="G278" s="166">
        <f>+G277*'E-Costos'!F121</f>
        <v>6821822.8377764979</v>
      </c>
    </row>
    <row r="279" spans="1:7" x14ac:dyDescent="0.25">
      <c r="B279" s="209" t="s">
        <v>238</v>
      </c>
      <c r="C279" s="37">
        <v>0</v>
      </c>
      <c r="D279" s="37">
        <f>+C278</f>
        <v>6920370.0623805085</v>
      </c>
      <c r="E279" s="37">
        <f>+D278</f>
        <v>6821515.2591585089</v>
      </c>
      <c r="F279" s="37">
        <f>+E278</f>
        <v>6516179.4648061823</v>
      </c>
      <c r="G279" s="166">
        <f>+F278</f>
        <v>6822937.9261247208</v>
      </c>
    </row>
    <row r="280" spans="1:7" x14ac:dyDescent="0.25">
      <c r="B280" s="210" t="s">
        <v>239</v>
      </c>
      <c r="C280" s="154">
        <f>+C278-C279</f>
        <v>6920370.0623805085</v>
      </c>
      <c r="D280" s="154">
        <f>+D278-D279</f>
        <v>-98854.803221999668</v>
      </c>
      <c r="E280" s="154">
        <f>+E278-E279</f>
        <v>-305335.79435232654</v>
      </c>
      <c r="F280" s="154">
        <f>+F278-F279</f>
        <v>306758.46131853852</v>
      </c>
      <c r="G280" s="170">
        <f>+G278-G279</f>
        <v>-1115.0883482228965</v>
      </c>
    </row>
    <row r="283" spans="1:7" ht="15" x14ac:dyDescent="0.25">
      <c r="A283" s="204" t="s">
        <v>240</v>
      </c>
    </row>
    <row r="285" spans="1:7" x14ac:dyDescent="0.25">
      <c r="B285" s="19" t="s">
        <v>92</v>
      </c>
      <c r="C285" s="18" t="s">
        <v>178</v>
      </c>
    </row>
    <row r="286" spans="1:7" x14ac:dyDescent="0.25">
      <c r="A286" s="47" t="s">
        <v>208</v>
      </c>
      <c r="B286" s="611">
        <f>+($F$286)*0.9*12</f>
        <v>0</v>
      </c>
      <c r="C286" s="612">
        <f>+($F$286)*0.9*12</f>
        <v>0</v>
      </c>
      <c r="E286" t="s">
        <v>241</v>
      </c>
      <c r="F286" s="37">
        <v>0</v>
      </c>
      <c r="G286" t="s">
        <v>218</v>
      </c>
    </row>
    <row r="287" spans="1:7" x14ac:dyDescent="0.25">
      <c r="A287" s="52" t="s">
        <v>209</v>
      </c>
      <c r="B287" s="613">
        <f>+($F$286)*0.05*12</f>
        <v>0</v>
      </c>
      <c r="C287" s="614">
        <f>+($F$286)*0.05*12</f>
        <v>0</v>
      </c>
      <c r="F287" s="37">
        <f>+F286*12</f>
        <v>0</v>
      </c>
    </row>
    <row r="288" spans="1:7" x14ac:dyDescent="0.25">
      <c r="A288" s="53" t="s">
        <v>210</v>
      </c>
      <c r="B288" s="615">
        <f>+($F$286)*0.05*12</f>
        <v>0</v>
      </c>
      <c r="C288" s="616">
        <f>+($F$286)*0.05*12</f>
        <v>0</v>
      </c>
    </row>
    <row r="289" spans="1:4" x14ac:dyDescent="0.25">
      <c r="B289" s="202">
        <f>+SUM(B286:B288)</f>
        <v>0</v>
      </c>
      <c r="C289" s="202">
        <f>+SUM(C286:C288)</f>
        <v>0</v>
      </c>
    </row>
    <row r="290" spans="1:4" x14ac:dyDescent="0.25">
      <c r="B290" s="202"/>
      <c r="C290" s="202"/>
    </row>
    <row r="291" spans="1:4" x14ac:dyDescent="0.25">
      <c r="B291" s="202"/>
      <c r="C291" s="202"/>
    </row>
    <row r="292" spans="1:4" x14ac:dyDescent="0.25">
      <c r="B292" s="2" t="s">
        <v>92</v>
      </c>
      <c r="C292" s="183" t="s">
        <v>178</v>
      </c>
    </row>
    <row r="293" spans="1:4" x14ac:dyDescent="0.25">
      <c r="A293" s="20" t="s">
        <v>201</v>
      </c>
      <c r="B293" s="184">
        <f>+B286/B94</f>
        <v>0</v>
      </c>
      <c r="C293" s="166">
        <f>+C286/C94</f>
        <v>0</v>
      </c>
      <c r="D293" t="s">
        <v>202</v>
      </c>
    </row>
    <row r="294" spans="1:4" x14ac:dyDescent="0.25">
      <c r="A294" s="29" t="s">
        <v>222</v>
      </c>
      <c r="B294" s="185">
        <f>+B293*C5</f>
        <v>0</v>
      </c>
      <c r="C294" s="170">
        <f>+C293*C5</f>
        <v>0</v>
      </c>
    </row>
  </sheetData>
  <mergeCells count="15">
    <mergeCell ref="A3:B3"/>
    <mergeCell ref="A4:B4"/>
    <mergeCell ref="A5:B5"/>
    <mergeCell ref="A48:D48"/>
    <mergeCell ref="B51:C51"/>
    <mergeCell ref="D51:E51"/>
    <mergeCell ref="A154:A156"/>
    <mergeCell ref="A181:A187"/>
    <mergeCell ref="A53:A58"/>
    <mergeCell ref="B53:C53"/>
    <mergeCell ref="B54:C54"/>
    <mergeCell ref="B55:C55"/>
    <mergeCell ref="B56:C56"/>
    <mergeCell ref="B57:C57"/>
    <mergeCell ref="B58:C58"/>
  </mergeCells>
  <hyperlinks>
    <hyperlink ref="G53" r:id="rId1" xr:uid="{00000000-0004-0000-0000-000000000000}"/>
    <hyperlink ref="G54" r:id="rId2" xr:uid="{00000000-0004-0000-0000-000001000000}"/>
    <hyperlink ref="G55" r:id="rId3" xr:uid="{00000000-0004-0000-0000-000002000000}"/>
    <hyperlink ref="G56" r:id="rId4" xr:uid="{00000000-0004-0000-0000-000003000000}"/>
    <hyperlink ref="G57" r:id="rId5" xr:uid="{00000000-0004-0000-0000-000004000000}"/>
  </hyperlinks>
  <pageMargins left="0.7" right="0.7" top="0.75" bottom="0.75" header="0.511811023622047" footer="0.511811023622047"/>
  <pageSetup paperSize="9" orientation="portrait" horizontalDpi="300" verticalDpi="300"/>
  <drawing r:id="rId6"/>
  <legacy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93"/>
  <sheetViews>
    <sheetView topLeftCell="A6" zoomScale="90" zoomScaleNormal="90" workbookViewId="0">
      <selection activeCell="H22" sqref="H22"/>
    </sheetView>
  </sheetViews>
  <sheetFormatPr baseColWidth="10" defaultColWidth="11" defaultRowHeight="13.2" x14ac:dyDescent="0.25"/>
  <cols>
    <col min="1" max="1" width="42.109375" customWidth="1"/>
    <col min="2" max="2" width="15.33203125" customWidth="1"/>
    <col min="4" max="4" width="17.33203125" customWidth="1"/>
    <col min="6" max="6" width="6.6640625" customWidth="1"/>
    <col min="13" max="13" width="16.6640625" customWidth="1"/>
  </cols>
  <sheetData>
    <row r="1" spans="1:13" x14ac:dyDescent="0.25">
      <c r="A1" s="281" t="s">
        <v>405</v>
      </c>
      <c r="E1" s="282">
        <v>11</v>
      </c>
    </row>
    <row r="2" spans="1:13" ht="13.8" x14ac:dyDescent="0.25">
      <c r="G2" s="649" t="s">
        <v>631</v>
      </c>
      <c r="H2" s="649"/>
      <c r="I2" s="649"/>
      <c r="J2" s="649"/>
      <c r="K2" s="649"/>
      <c r="L2" s="649"/>
      <c r="M2" s="649"/>
    </row>
    <row r="3" spans="1:13" ht="14.25" customHeight="1" x14ac:dyDescent="0.25">
      <c r="A3" s="283" t="s">
        <v>632</v>
      </c>
      <c r="B3" s="284">
        <v>0.21</v>
      </c>
      <c r="G3" s="650" t="s">
        <v>633</v>
      </c>
      <c r="H3" s="650"/>
      <c r="I3" s="650"/>
      <c r="J3" s="650"/>
      <c r="K3" s="650"/>
      <c r="L3" s="650"/>
      <c r="M3" s="650"/>
    </row>
    <row r="4" spans="1:13" x14ac:dyDescent="0.25">
      <c r="A4" s="283" t="s">
        <v>634</v>
      </c>
      <c r="B4" s="284">
        <v>0.35</v>
      </c>
      <c r="G4" s="650"/>
      <c r="H4" s="650"/>
      <c r="I4" s="650"/>
      <c r="J4" s="650"/>
      <c r="K4" s="650"/>
      <c r="L4" s="650"/>
      <c r="M4" s="650"/>
    </row>
    <row r="5" spans="1:13" x14ac:dyDescent="0.25">
      <c r="A5" s="283" t="s">
        <v>500</v>
      </c>
      <c r="B5" s="284">
        <v>0.1</v>
      </c>
      <c r="C5" t="s">
        <v>635</v>
      </c>
      <c r="G5" s="650"/>
      <c r="H5" s="650"/>
      <c r="I5" s="650"/>
      <c r="J5" s="650"/>
      <c r="K5" s="650"/>
      <c r="L5" s="650"/>
      <c r="M5" s="650"/>
    </row>
    <row r="6" spans="1:13" x14ac:dyDescent="0.25">
      <c r="G6" s="650"/>
      <c r="H6" s="650"/>
      <c r="I6" s="650"/>
      <c r="J6" s="650"/>
      <c r="K6" s="650"/>
      <c r="L6" s="650"/>
      <c r="M6" s="650"/>
    </row>
    <row r="7" spans="1:13" ht="14.25" customHeight="1" x14ac:dyDescent="0.25">
      <c r="A7" s="283" t="s">
        <v>636</v>
      </c>
      <c r="B7" t="s">
        <v>637</v>
      </c>
      <c r="G7" s="646" t="s">
        <v>638</v>
      </c>
      <c r="H7" s="646"/>
      <c r="I7" s="646"/>
      <c r="J7" s="646"/>
      <c r="K7" s="646"/>
      <c r="L7" s="646"/>
      <c r="M7" s="646"/>
    </row>
    <row r="8" spans="1:13" x14ac:dyDescent="0.25">
      <c r="A8" s="285" t="s">
        <v>639</v>
      </c>
      <c r="B8" s="286">
        <v>30</v>
      </c>
      <c r="C8" t="s">
        <v>640</v>
      </c>
      <c r="G8" s="646"/>
      <c r="H8" s="646"/>
      <c r="I8" s="646"/>
      <c r="J8" s="646"/>
      <c r="K8" s="646"/>
      <c r="L8" s="646"/>
      <c r="M8" s="646"/>
    </row>
    <row r="9" spans="1:13" x14ac:dyDescent="0.25">
      <c r="A9" s="285" t="s">
        <v>641</v>
      </c>
      <c r="B9" s="286">
        <v>10</v>
      </c>
      <c r="C9" t="s">
        <v>640</v>
      </c>
      <c r="G9" s="651" t="s">
        <v>642</v>
      </c>
      <c r="H9" s="651"/>
      <c r="I9" s="651"/>
      <c r="J9" s="651"/>
      <c r="K9" s="651"/>
      <c r="L9" s="651"/>
      <c r="M9" s="651"/>
    </row>
    <row r="10" spans="1:13" ht="14.25" customHeight="1" x14ac:dyDescent="0.25">
      <c r="A10" s="285" t="s">
        <v>643</v>
      </c>
      <c r="B10" s="286">
        <v>10</v>
      </c>
      <c r="C10" t="s">
        <v>640</v>
      </c>
      <c r="G10" s="646" t="s">
        <v>644</v>
      </c>
      <c r="H10" s="646"/>
      <c r="I10" s="646"/>
      <c r="J10" s="646"/>
      <c r="K10" s="646"/>
      <c r="L10" s="646"/>
      <c r="M10" s="646"/>
    </row>
    <row r="11" spans="1:13" x14ac:dyDescent="0.25">
      <c r="A11" s="285" t="s">
        <v>645</v>
      </c>
      <c r="B11" s="286">
        <v>5</v>
      </c>
      <c r="C11" t="s">
        <v>640</v>
      </c>
      <c r="G11" s="646"/>
      <c r="H11" s="646"/>
      <c r="I11" s="646"/>
      <c r="J11" s="646"/>
      <c r="K11" s="646"/>
      <c r="L11" s="646"/>
      <c r="M11" s="646"/>
    </row>
    <row r="12" spans="1:13" ht="14.25" customHeight="1" x14ac:dyDescent="0.25">
      <c r="A12" s="285" t="s">
        <v>646</v>
      </c>
      <c r="B12" s="286">
        <v>5</v>
      </c>
      <c r="C12" t="s">
        <v>640</v>
      </c>
      <c r="G12" s="646" t="s">
        <v>647</v>
      </c>
      <c r="H12" s="646"/>
      <c r="I12" s="646"/>
      <c r="J12" s="646"/>
      <c r="K12" s="646"/>
      <c r="L12" s="646"/>
      <c r="M12" s="646"/>
    </row>
    <row r="13" spans="1:13" x14ac:dyDescent="0.25">
      <c r="A13" s="285" t="s">
        <v>648</v>
      </c>
      <c r="B13" s="286">
        <v>5</v>
      </c>
      <c r="C13" t="s">
        <v>640</v>
      </c>
      <c r="G13" s="646"/>
      <c r="H13" s="646"/>
      <c r="I13" s="646"/>
      <c r="J13" s="646"/>
      <c r="K13" s="646"/>
      <c r="L13" s="646"/>
      <c r="M13" s="646"/>
    </row>
    <row r="14" spans="1:13" x14ac:dyDescent="0.25">
      <c r="A14" s="285" t="s">
        <v>448</v>
      </c>
      <c r="B14" s="287">
        <v>0.09</v>
      </c>
    </row>
    <row r="16" spans="1:13" x14ac:dyDescent="0.25">
      <c r="A16" s="283" t="s">
        <v>649</v>
      </c>
      <c r="B16" s="647" t="s">
        <v>650</v>
      </c>
      <c r="C16" s="647"/>
      <c r="D16" s="647"/>
      <c r="E16" s="647"/>
      <c r="F16" s="647"/>
      <c r="G16" s="647"/>
    </row>
    <row r="18" spans="1:4" x14ac:dyDescent="0.25">
      <c r="A18" s="283" t="s">
        <v>651</v>
      </c>
      <c r="B18" s="288">
        <f>+'DATA E-COSTOS'!B65</f>
        <v>3824640</v>
      </c>
      <c r="C18" t="s">
        <v>652</v>
      </c>
      <c r="D18" t="s">
        <v>653</v>
      </c>
    </row>
    <row r="19" spans="1:4" x14ac:dyDescent="0.25">
      <c r="A19" s="283" t="s">
        <v>654</v>
      </c>
      <c r="B19" s="289">
        <f>130*C21</f>
        <v>130</v>
      </c>
      <c r="C19" t="s">
        <v>655</v>
      </c>
    </row>
    <row r="20" spans="1:4" x14ac:dyDescent="0.25">
      <c r="A20" s="283" t="s">
        <v>656</v>
      </c>
      <c r="B20" s="290">
        <f>+'DATA E-COSTOS'!C65</f>
        <v>3824640</v>
      </c>
    </row>
    <row r="21" spans="1:4" x14ac:dyDescent="0.25">
      <c r="A21" s="283" t="s">
        <v>657</v>
      </c>
      <c r="B21" s="291">
        <f>150*C21</f>
        <v>150</v>
      </c>
      <c r="C21">
        <v>1</v>
      </c>
    </row>
    <row r="22" spans="1:4" x14ac:dyDescent="0.25">
      <c r="D22" s="292"/>
    </row>
    <row r="23" spans="1:4" x14ac:dyDescent="0.25">
      <c r="A23" s="283" t="s">
        <v>658</v>
      </c>
    </row>
    <row r="24" spans="1:4" x14ac:dyDescent="0.25">
      <c r="A24" s="283" t="s">
        <v>659</v>
      </c>
      <c r="B24" s="293">
        <v>26</v>
      </c>
      <c r="C24" t="s">
        <v>660</v>
      </c>
      <c r="D24" t="s">
        <v>661</v>
      </c>
    </row>
    <row r="25" spans="1:4" x14ac:dyDescent="0.25">
      <c r="A25" s="283" t="s">
        <v>662</v>
      </c>
      <c r="B25" s="293">
        <v>4</v>
      </c>
      <c r="C25" t="s">
        <v>660</v>
      </c>
    </row>
    <row r="26" spans="1:4" x14ac:dyDescent="0.25">
      <c r="A26" s="283" t="s">
        <v>663</v>
      </c>
      <c r="B26" s="293"/>
      <c r="C26" t="s">
        <v>660</v>
      </c>
    </row>
    <row r="27" spans="1:4" x14ac:dyDescent="0.25">
      <c r="B27">
        <v>38</v>
      </c>
      <c r="C27" t="s">
        <v>664</v>
      </c>
    </row>
    <row r="28" spans="1:4" x14ac:dyDescent="0.25">
      <c r="A28" s="283" t="s">
        <v>665</v>
      </c>
      <c r="B28" s="293">
        <f>1224+204</f>
        <v>1428</v>
      </c>
      <c r="C28" t="s">
        <v>666</v>
      </c>
      <c r="D28" t="s">
        <v>667</v>
      </c>
    </row>
    <row r="29" spans="1:4" x14ac:dyDescent="0.25">
      <c r="A29" s="283" t="s">
        <v>668</v>
      </c>
      <c r="B29" s="293">
        <v>19</v>
      </c>
      <c r="C29" t="s">
        <v>669</v>
      </c>
    </row>
    <row r="30" spans="1:4" x14ac:dyDescent="0.25">
      <c r="A30" s="283" t="s">
        <v>670</v>
      </c>
      <c r="B30" s="293">
        <v>3</v>
      </c>
      <c r="C30" t="s">
        <v>669</v>
      </c>
    </row>
    <row r="33" spans="1:7" x14ac:dyDescent="0.25">
      <c r="A33" s="283" t="s">
        <v>671</v>
      </c>
      <c r="B33" s="293">
        <v>151.25</v>
      </c>
      <c r="C33" t="s">
        <v>672</v>
      </c>
      <c r="D33" s="293">
        <v>1</v>
      </c>
      <c r="E33" t="s">
        <v>673</v>
      </c>
      <c r="F33" t="s">
        <v>674</v>
      </c>
    </row>
    <row r="34" spans="1:7" x14ac:dyDescent="0.25">
      <c r="A34" s="294"/>
    </row>
    <row r="35" spans="1:7" x14ac:dyDescent="0.25">
      <c r="A35" s="294"/>
    </row>
    <row r="36" spans="1:7" x14ac:dyDescent="0.25">
      <c r="A36" s="283" t="s">
        <v>675</v>
      </c>
      <c r="B36" s="581">
        <v>0.62</v>
      </c>
      <c r="C36" t="s">
        <v>676</v>
      </c>
    </row>
    <row r="37" spans="1:7" x14ac:dyDescent="0.25">
      <c r="A37" s="283" t="s">
        <v>677</v>
      </c>
      <c r="B37" s="648" t="s">
        <v>678</v>
      </c>
      <c r="C37" s="648"/>
      <c r="D37" s="648"/>
      <c r="G37" s="295" t="s">
        <v>679</v>
      </c>
    </row>
    <row r="38" spans="1:7" x14ac:dyDescent="0.25">
      <c r="A38" s="283" t="s">
        <v>680</v>
      </c>
      <c r="B38" s="575">
        <v>0.5</v>
      </c>
    </row>
    <row r="39" spans="1:7" x14ac:dyDescent="0.25">
      <c r="A39" s="283"/>
      <c r="B39" s="575">
        <f>+B38/2</f>
        <v>0.25</v>
      </c>
      <c r="C39" t="s">
        <v>681</v>
      </c>
    </row>
    <row r="40" spans="1:7" x14ac:dyDescent="0.25">
      <c r="A40" s="283"/>
      <c r="B40" s="575">
        <f>+(B38/12)*3</f>
        <v>0.125</v>
      </c>
      <c r="C40" t="s">
        <v>682</v>
      </c>
    </row>
    <row r="41" spans="1:7" x14ac:dyDescent="0.25">
      <c r="A41" s="283" t="s">
        <v>683</v>
      </c>
      <c r="B41" s="293">
        <v>30</v>
      </c>
    </row>
    <row r="42" spans="1:7" x14ac:dyDescent="0.25">
      <c r="A42" s="283" t="s">
        <v>684</v>
      </c>
      <c r="B42" s="562">
        <v>0.4</v>
      </c>
    </row>
    <row r="43" spans="1:7" x14ac:dyDescent="0.25">
      <c r="A43" s="283" t="s">
        <v>685</v>
      </c>
      <c r="B43" s="562">
        <v>0.7</v>
      </c>
      <c r="C43" t="s">
        <v>676</v>
      </c>
    </row>
    <row r="44" spans="1:7" x14ac:dyDescent="0.25">
      <c r="B44" s="562">
        <f>+B43/2</f>
        <v>0.35</v>
      </c>
      <c r="C44" t="s">
        <v>681</v>
      </c>
    </row>
    <row r="45" spans="1:7" x14ac:dyDescent="0.25">
      <c r="B45" s="562">
        <f>+B43/12</f>
        <v>5.8333333333333327E-2</v>
      </c>
      <c r="C45" t="s">
        <v>686</v>
      </c>
    </row>
    <row r="193" spans="5:5" x14ac:dyDescent="0.25">
      <c r="E193" s="295" t="s">
        <v>687</v>
      </c>
    </row>
  </sheetData>
  <mergeCells count="8">
    <mergeCell ref="G12:M13"/>
    <mergeCell ref="B16:G16"/>
    <mergeCell ref="B37:D37"/>
    <mergeCell ref="G2:M2"/>
    <mergeCell ref="G3:M6"/>
    <mergeCell ref="G7:M8"/>
    <mergeCell ref="G9:M9"/>
    <mergeCell ref="G10:M11"/>
  </mergeCells>
  <pageMargins left="0.75" right="0.75" top="0.7" bottom="1" header="0.511811023622047" footer="0.511811023622047"/>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C9465-C1A2-435A-AC7F-9B83981CDF11}">
  <dimension ref="B1:N29"/>
  <sheetViews>
    <sheetView workbookViewId="0">
      <selection activeCell="H24" sqref="H24"/>
    </sheetView>
  </sheetViews>
  <sheetFormatPr baseColWidth="10" defaultColWidth="11.44140625" defaultRowHeight="13.2" x14ac:dyDescent="0.25"/>
  <cols>
    <col min="2" max="2" width="24.88671875" customWidth="1"/>
    <col min="3" max="3" width="15.109375" bestFit="1" customWidth="1"/>
    <col min="4" max="4" width="66.109375" bestFit="1" customWidth="1"/>
    <col min="5" max="5" width="15" bestFit="1" customWidth="1"/>
    <col min="6" max="6" width="16.88671875" bestFit="1" customWidth="1"/>
    <col min="11" max="11" width="6.109375" bestFit="1" customWidth="1"/>
    <col min="12" max="12" width="10" bestFit="1" customWidth="1"/>
    <col min="13" max="13" width="5.88671875" bestFit="1" customWidth="1"/>
  </cols>
  <sheetData>
    <row r="1" spans="2:14" ht="13.8" thickBot="1" x14ac:dyDescent="0.3">
      <c r="B1" s="652" t="s">
        <v>688</v>
      </c>
      <c r="C1" s="652"/>
      <c r="D1" s="652"/>
      <c r="E1" s="652"/>
      <c r="F1" s="652"/>
    </row>
    <row r="2" spans="2:14" x14ac:dyDescent="0.25">
      <c r="B2" s="564" t="s">
        <v>266</v>
      </c>
      <c r="C2" s="565" t="s">
        <v>689</v>
      </c>
      <c r="D2" s="565" t="s">
        <v>690</v>
      </c>
      <c r="E2" s="565" t="s">
        <v>691</v>
      </c>
      <c r="F2" s="566" t="s">
        <v>692</v>
      </c>
      <c r="K2" s="564" t="s">
        <v>693</v>
      </c>
      <c r="L2" s="565" t="s">
        <v>694</v>
      </c>
      <c r="M2" s="565" t="s">
        <v>695</v>
      </c>
      <c r="N2" s="566" t="s">
        <v>696</v>
      </c>
    </row>
    <row r="3" spans="2:14" ht="13.8" thickBot="1" x14ac:dyDescent="0.3">
      <c r="B3" s="571" t="s">
        <v>697</v>
      </c>
      <c r="C3" s="563">
        <f t="shared" ref="C3:C14" si="0">+$N$3</f>
        <v>46103876.876434319</v>
      </c>
      <c r="D3" s="563">
        <f>+C3*InfoInicial!$B$42</f>
        <v>18441550.750573728</v>
      </c>
      <c r="E3" s="563" t="s">
        <v>698</v>
      </c>
      <c r="F3" s="572">
        <f>+D3*(InfoInicial!$B$45)</f>
        <v>1075757.1271168008</v>
      </c>
      <c r="K3" s="567">
        <f>+'DATA E-InvAT'!E12</f>
        <v>3081.98</v>
      </c>
      <c r="L3" s="568">
        <f>+'DATA E-InvAT'!I6</f>
        <v>179510.09497699913</v>
      </c>
      <c r="M3" s="569">
        <f>+K3*L3</f>
        <v>553246522.51721179</v>
      </c>
      <c r="N3" s="570">
        <f>+M3/12</f>
        <v>46103876.876434319</v>
      </c>
    </row>
    <row r="4" spans="2:14" x14ac:dyDescent="0.25">
      <c r="B4" s="571" t="s">
        <v>698</v>
      </c>
      <c r="C4" s="563">
        <f t="shared" si="0"/>
        <v>46103876.876434319</v>
      </c>
      <c r="D4" s="563">
        <f>+C4*InfoInicial!$B$42</f>
        <v>18441550.750573728</v>
      </c>
      <c r="E4" s="563" t="s">
        <v>699</v>
      </c>
      <c r="F4" s="572">
        <f>+D4*(InfoInicial!$B$45)</f>
        <v>1075757.1271168008</v>
      </c>
    </row>
    <row r="5" spans="2:14" x14ac:dyDescent="0.25">
      <c r="B5" s="571" t="s">
        <v>699</v>
      </c>
      <c r="C5" s="563">
        <f t="shared" si="0"/>
        <v>46103876.876434319</v>
      </c>
      <c r="D5" s="563">
        <f>+C5*InfoInicial!$B$42</f>
        <v>18441550.750573728</v>
      </c>
      <c r="E5" s="563" t="s">
        <v>700</v>
      </c>
      <c r="F5" s="572">
        <f>+D5*(InfoInicial!$B$45)</f>
        <v>1075757.1271168008</v>
      </c>
    </row>
    <row r="6" spans="2:14" x14ac:dyDescent="0.25">
      <c r="B6" s="571" t="s">
        <v>700</v>
      </c>
      <c r="C6" s="563">
        <f t="shared" si="0"/>
        <v>46103876.876434319</v>
      </c>
      <c r="D6" s="563">
        <f>+C6*InfoInicial!$B$42</f>
        <v>18441550.750573728</v>
      </c>
      <c r="E6" s="563" t="s">
        <v>701</v>
      </c>
      <c r="F6" s="572">
        <f>+D6*(InfoInicial!$B$45)</f>
        <v>1075757.1271168008</v>
      </c>
    </row>
    <row r="7" spans="2:14" x14ac:dyDescent="0.25">
      <c r="B7" s="571" t="s">
        <v>701</v>
      </c>
      <c r="C7" s="563">
        <f t="shared" si="0"/>
        <v>46103876.876434319</v>
      </c>
      <c r="D7" s="563">
        <f>+C7*InfoInicial!$B$42</f>
        <v>18441550.750573728</v>
      </c>
      <c r="E7" s="563" t="s">
        <v>702</v>
      </c>
      <c r="F7" s="572">
        <f>+D7*(InfoInicial!$B$45)</f>
        <v>1075757.1271168008</v>
      </c>
    </row>
    <row r="8" spans="2:14" x14ac:dyDescent="0.25">
      <c r="B8" s="571" t="s">
        <v>702</v>
      </c>
      <c r="C8" s="563">
        <f t="shared" si="0"/>
        <v>46103876.876434319</v>
      </c>
      <c r="D8" s="563">
        <f>+C8*InfoInicial!$B$42</f>
        <v>18441550.750573728</v>
      </c>
      <c r="E8" s="563" t="s">
        <v>703</v>
      </c>
      <c r="F8" s="572">
        <f>+D8*(InfoInicial!$B$45)</f>
        <v>1075757.1271168008</v>
      </c>
    </row>
    <row r="9" spans="2:14" x14ac:dyDescent="0.25">
      <c r="B9" s="571" t="s">
        <v>703</v>
      </c>
      <c r="C9" s="563">
        <f t="shared" si="0"/>
        <v>46103876.876434319</v>
      </c>
      <c r="D9" s="563">
        <f>+C9*InfoInicial!$B$42</f>
        <v>18441550.750573728</v>
      </c>
      <c r="E9" s="563" t="s">
        <v>704</v>
      </c>
      <c r="F9" s="572">
        <f>+D9*(InfoInicial!$B$45)</f>
        <v>1075757.1271168008</v>
      </c>
    </row>
    <row r="10" spans="2:14" x14ac:dyDescent="0.25">
      <c r="B10" s="571" t="s">
        <v>704</v>
      </c>
      <c r="C10" s="563">
        <f t="shared" si="0"/>
        <v>46103876.876434319</v>
      </c>
      <c r="D10" s="563">
        <f>+C10*InfoInicial!$B$42</f>
        <v>18441550.750573728</v>
      </c>
      <c r="E10" s="563" t="s">
        <v>705</v>
      </c>
      <c r="F10" s="572">
        <f>+D10*(InfoInicial!$B$45)</f>
        <v>1075757.1271168008</v>
      </c>
    </row>
    <row r="11" spans="2:14" x14ac:dyDescent="0.25">
      <c r="B11" s="571" t="s">
        <v>705</v>
      </c>
      <c r="C11" s="563">
        <f t="shared" si="0"/>
        <v>46103876.876434319</v>
      </c>
      <c r="D11" s="563">
        <f>+C11*InfoInicial!$B$42</f>
        <v>18441550.750573728</v>
      </c>
      <c r="E11" s="563" t="s">
        <v>706</v>
      </c>
      <c r="F11" s="572">
        <f>+D11*(InfoInicial!$B$45)</f>
        <v>1075757.1271168008</v>
      </c>
    </row>
    <row r="12" spans="2:14" x14ac:dyDescent="0.25">
      <c r="B12" s="571" t="s">
        <v>706</v>
      </c>
      <c r="C12" s="563">
        <f t="shared" si="0"/>
        <v>46103876.876434319</v>
      </c>
      <c r="D12" s="563">
        <f>+C12*InfoInicial!$B$42</f>
        <v>18441550.750573728</v>
      </c>
      <c r="E12" s="563" t="s">
        <v>707</v>
      </c>
      <c r="F12" s="572">
        <f>+D12*(InfoInicial!$B$45)</f>
        <v>1075757.1271168008</v>
      </c>
    </row>
    <row r="13" spans="2:14" x14ac:dyDescent="0.25">
      <c r="B13" s="571" t="s">
        <v>707</v>
      </c>
      <c r="C13" s="563">
        <f t="shared" si="0"/>
        <v>46103876.876434319</v>
      </c>
      <c r="D13" s="563">
        <f>+C13*InfoInicial!$B$42</f>
        <v>18441550.750573728</v>
      </c>
      <c r="E13" s="563" t="s">
        <v>708</v>
      </c>
      <c r="F13" s="572">
        <f>+D13*(InfoInicial!$B$45)</f>
        <v>1075757.1271168008</v>
      </c>
    </row>
    <row r="14" spans="2:14" ht="13.8" thickBot="1" x14ac:dyDescent="0.3">
      <c r="B14" s="567" t="s">
        <v>708</v>
      </c>
      <c r="C14" s="569">
        <f t="shared" si="0"/>
        <v>46103876.876434319</v>
      </c>
      <c r="D14" s="569">
        <f>+C14*InfoInicial!$B$42</f>
        <v>18441550.750573728</v>
      </c>
      <c r="E14" s="569" t="s">
        <v>697</v>
      </c>
      <c r="F14" s="570">
        <f>+D14*(InfoInicial!$B$45)</f>
        <v>1075757.1271168008</v>
      </c>
    </row>
    <row r="15" spans="2:14" ht="13.8" thickBot="1" x14ac:dyDescent="0.3"/>
    <row r="16" spans="2:14" ht="13.8" thickBot="1" x14ac:dyDescent="0.3">
      <c r="E16" s="573" t="s">
        <v>709</v>
      </c>
      <c r="F16" s="574">
        <f>+SUM(F3:F14)</f>
        <v>12909085.525401613</v>
      </c>
    </row>
    <row r="18" spans="2:6" x14ac:dyDescent="0.25">
      <c r="D18" t="s">
        <v>710</v>
      </c>
      <c r="F18" s="563">
        <f>+F16/InfoInicial!B43</f>
        <v>18441550.750573732</v>
      </c>
    </row>
    <row r="21" spans="2:6" ht="32.25" customHeight="1" x14ac:dyDescent="0.25">
      <c r="B21" s="583" t="s">
        <v>711</v>
      </c>
      <c r="C21" s="582" t="s">
        <v>712</v>
      </c>
    </row>
    <row r="22" spans="2:6" x14ac:dyDescent="0.25">
      <c r="B22" s="563">
        <f>+'F-Cred'!D5</f>
        <v>61538917.440000013</v>
      </c>
      <c r="C22" s="556">
        <v>0.02</v>
      </c>
    </row>
    <row r="24" spans="2:6" ht="52.8" x14ac:dyDescent="0.25">
      <c r="B24" s="584" t="s">
        <v>713</v>
      </c>
      <c r="C24" s="584" t="s">
        <v>714</v>
      </c>
      <c r="D24" s="584" t="s">
        <v>715</v>
      </c>
      <c r="E24" s="584" t="s">
        <v>716</v>
      </c>
    </row>
    <row r="25" spans="2:6" x14ac:dyDescent="0.25">
      <c r="B25" s="5">
        <v>1</v>
      </c>
      <c r="C25" s="590">
        <f>+'F-Cred'!$K$21/3</f>
        <v>5538502.569600001</v>
      </c>
      <c r="D25" s="590">
        <f>+'F-Cred'!G24</f>
        <v>43678544.245401621</v>
      </c>
      <c r="E25" s="590">
        <f>+SUM(C25:D25)</f>
        <v>49217046.815001622</v>
      </c>
    </row>
    <row r="26" spans="2:6" x14ac:dyDescent="0.25">
      <c r="B26" s="5">
        <v>2</v>
      </c>
      <c r="C26" s="590">
        <f>+'F-Cred'!$K$21/3</f>
        <v>5538502.569600001</v>
      </c>
      <c r="D26" s="590">
        <f>+'F-Cred'!G26</f>
        <v>37909270.735401616</v>
      </c>
      <c r="E26" s="590">
        <f>+SUM(C26:D26)</f>
        <v>43447773.305001616</v>
      </c>
    </row>
    <row r="27" spans="2:6" x14ac:dyDescent="0.25">
      <c r="B27" s="5">
        <v>3</v>
      </c>
      <c r="C27" s="590">
        <f>+'F-Cred'!$K$21/3</f>
        <v>5538502.569600001</v>
      </c>
      <c r="D27" s="590">
        <f>+'F-Cred'!G28</f>
        <v>30216906.055401616</v>
      </c>
      <c r="E27" s="590">
        <f>+SUM(C27:D27)</f>
        <v>35755408.625001617</v>
      </c>
    </row>
    <row r="28" spans="2:6" x14ac:dyDescent="0.25">
      <c r="B28" s="5">
        <v>4</v>
      </c>
      <c r="C28" s="590"/>
      <c r="D28" s="590">
        <f>+'F-Cred'!G30</f>
        <v>22524541.375401616</v>
      </c>
      <c r="E28" s="590">
        <f>+SUM(C28:D28)</f>
        <v>22524541.375401616</v>
      </c>
    </row>
    <row r="29" spans="2:6" x14ac:dyDescent="0.25">
      <c r="B29" s="5">
        <v>5</v>
      </c>
      <c r="C29" s="590"/>
      <c r="D29" s="590">
        <f>+'F-Cred'!G32</f>
        <v>14832176.695401613</v>
      </c>
      <c r="E29" s="590">
        <f>+SUM(C29:D29)</f>
        <v>14832176.695401613</v>
      </c>
    </row>
  </sheetData>
  <mergeCells count="1">
    <mergeCell ref="B1:F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8"/>
  <sheetViews>
    <sheetView topLeftCell="A12" zoomScale="90" zoomScaleNormal="90" workbookViewId="0">
      <selection activeCell="J36" sqref="J36"/>
    </sheetView>
  </sheetViews>
  <sheetFormatPr baseColWidth="10" defaultColWidth="11.33203125" defaultRowHeight="13.2" x14ac:dyDescent="0.25"/>
  <cols>
    <col min="1" max="1" width="27.109375" customWidth="1"/>
    <col min="2" max="2" width="16.109375" bestFit="1" customWidth="1"/>
    <col min="3" max="3" width="15" customWidth="1"/>
    <col min="4" max="4" width="16.109375" bestFit="1" customWidth="1"/>
    <col min="5" max="5" width="15" customWidth="1"/>
    <col min="6" max="6" width="16.109375" bestFit="1" customWidth="1"/>
    <col min="7" max="7" width="16.88671875" customWidth="1"/>
    <col min="8" max="9" width="15" customWidth="1"/>
    <col min="11" max="11" width="27.44140625" bestFit="1" customWidth="1"/>
  </cols>
  <sheetData>
    <row r="1" spans="1:9" x14ac:dyDescent="0.25">
      <c r="A1" s="281" t="s">
        <v>405</v>
      </c>
      <c r="F1" s="501">
        <f>InfoInicial!E1</f>
        <v>11</v>
      </c>
      <c r="G1" s="282"/>
    </row>
    <row r="2" spans="1:9" ht="15.6" x14ac:dyDescent="0.3">
      <c r="A2" s="502" t="s">
        <v>717</v>
      </c>
      <c r="B2" s="503"/>
      <c r="C2" s="503"/>
      <c r="D2" s="503"/>
      <c r="E2" s="503"/>
      <c r="F2" s="503"/>
      <c r="G2" s="504"/>
    </row>
    <row r="3" spans="1:9" x14ac:dyDescent="0.25">
      <c r="A3" s="299" t="s">
        <v>407</v>
      </c>
      <c r="B3" s="653" t="s">
        <v>718</v>
      </c>
      <c r="C3" s="653"/>
      <c r="D3" s="653" t="s">
        <v>719</v>
      </c>
      <c r="E3" s="653"/>
      <c r="F3" s="654" t="s">
        <v>720</v>
      </c>
      <c r="G3" s="654"/>
    </row>
    <row r="4" spans="1:9" x14ac:dyDescent="0.25">
      <c r="A4" s="299" t="s">
        <v>572</v>
      </c>
      <c r="B4" s="505" t="s">
        <v>721</v>
      </c>
      <c r="C4" s="505" t="s">
        <v>722</v>
      </c>
      <c r="D4" s="505" t="s">
        <v>721</v>
      </c>
      <c r="E4" s="505" t="s">
        <v>722</v>
      </c>
      <c r="F4" s="505" t="s">
        <v>721</v>
      </c>
      <c r="G4" s="506" t="s">
        <v>722</v>
      </c>
    </row>
    <row r="5" spans="1:9" x14ac:dyDescent="0.25">
      <c r="A5" s="332" t="s">
        <v>723</v>
      </c>
      <c r="B5" s="309">
        <f>+'E-Cal Inv.'!I8</f>
        <v>280148026.9942286</v>
      </c>
      <c r="C5" s="507">
        <f>+B5/$B$8</f>
        <v>0.49792252204973336</v>
      </c>
      <c r="D5" s="309">
        <f>+'E-Inv AF y Am'!B8*InfoInicial!B38</f>
        <v>61538917.440000013</v>
      </c>
      <c r="E5" s="507">
        <f>+D5/$B$8</f>
        <v>0.10937650821494589</v>
      </c>
      <c r="F5" s="309">
        <f>+B5-D5</f>
        <v>218609109.5542286</v>
      </c>
      <c r="G5" s="508">
        <f>+F5/$B$8</f>
        <v>0.38854601383478748</v>
      </c>
    </row>
    <row r="6" spans="1:9" x14ac:dyDescent="0.25">
      <c r="A6" s="354" t="s">
        <v>724</v>
      </c>
      <c r="B6" s="309">
        <f>+'E-Cal Inv.'!I18</f>
        <v>184838561.84986314</v>
      </c>
      <c r="C6" s="507">
        <f>+B6/$B$8</f>
        <v>0.3285237589420022</v>
      </c>
      <c r="D6" s="309">
        <f>+'RES CRED'!F18</f>
        <v>18441550.750573732</v>
      </c>
      <c r="E6" s="507">
        <f>+D6/$B$8</f>
        <v>3.2777184114964324E-2</v>
      </c>
      <c r="F6" s="309">
        <f>+B6-D6</f>
        <v>166397011.09928942</v>
      </c>
      <c r="G6" s="508">
        <f>+F6/$B$8</f>
        <v>0.29574657482703787</v>
      </c>
    </row>
    <row r="7" spans="1:9" x14ac:dyDescent="0.25">
      <c r="A7" s="354" t="s">
        <v>395</v>
      </c>
      <c r="B7" s="309">
        <f>+'E-Cal Inv.'!I23</f>
        <v>97647183.657259241</v>
      </c>
      <c r="C7" s="507">
        <f>+B7/$B$8</f>
        <v>0.17355371900826441</v>
      </c>
      <c r="D7" s="309"/>
      <c r="E7" s="507">
        <f>+D7/$D$8</f>
        <v>0</v>
      </c>
      <c r="F7" s="309">
        <f>+B7-D7</f>
        <v>97647183.657259241</v>
      </c>
      <c r="G7" s="508">
        <f>+F7/$B$8</f>
        <v>0.17355371900826441</v>
      </c>
    </row>
    <row r="8" spans="1:9" ht="13.8" thickBot="1" x14ac:dyDescent="0.3">
      <c r="A8" s="341" t="s">
        <v>410</v>
      </c>
      <c r="B8" s="509">
        <f>+SUM(B5:B7)</f>
        <v>562633772.501351</v>
      </c>
      <c r="C8" s="368">
        <f>+B8/$B$8</f>
        <v>1</v>
      </c>
      <c r="D8" s="509">
        <f>+SUM(D5:D7)</f>
        <v>79980468.190573752</v>
      </c>
      <c r="E8" s="368">
        <f>+SUM(E5:E7)</f>
        <v>0.14215369232991021</v>
      </c>
      <c r="F8" s="317">
        <f>+SUM(F5:F7)</f>
        <v>482653304.31077725</v>
      </c>
      <c r="G8" s="369">
        <f>+SUM(G5:G7)</f>
        <v>0.85784630767008985</v>
      </c>
    </row>
    <row r="9" spans="1:9" ht="14.4" thickTop="1" thickBot="1" x14ac:dyDescent="0.3">
      <c r="A9" s="294"/>
      <c r="B9" s="481"/>
      <c r="C9" s="510"/>
      <c r="D9" s="481"/>
      <c r="E9" s="481"/>
      <c r="F9" s="481"/>
      <c r="G9" s="481"/>
    </row>
    <row r="10" spans="1:9" ht="15.6" x14ac:dyDescent="0.3">
      <c r="A10" s="511" t="s">
        <v>725</v>
      </c>
      <c r="B10" s="512"/>
      <c r="C10" s="512"/>
      <c r="D10" s="512"/>
      <c r="E10" s="512"/>
      <c r="F10" s="512"/>
      <c r="G10" s="512"/>
      <c r="H10" s="512"/>
      <c r="I10" s="513"/>
    </row>
    <row r="11" spans="1:9" x14ac:dyDescent="0.25">
      <c r="A11" s="514" t="s">
        <v>726</v>
      </c>
      <c r="B11" s="515" t="s">
        <v>727</v>
      </c>
      <c r="C11" s="515" t="s">
        <v>728</v>
      </c>
      <c r="D11" s="515" t="s">
        <v>729</v>
      </c>
      <c r="E11" s="515" t="s">
        <v>728</v>
      </c>
      <c r="F11" s="515" t="s">
        <v>730</v>
      </c>
      <c r="G11" s="515" t="s">
        <v>729</v>
      </c>
      <c r="H11" s="515"/>
      <c r="I11" s="516" t="s">
        <v>731</v>
      </c>
    </row>
    <row r="12" spans="1:9" ht="13.8" thickBot="1" x14ac:dyDescent="0.3">
      <c r="A12" s="517"/>
      <c r="B12" s="518"/>
      <c r="C12" s="518" t="s">
        <v>732</v>
      </c>
      <c r="D12" s="518" t="s">
        <v>732</v>
      </c>
      <c r="E12" s="518" t="s">
        <v>676</v>
      </c>
      <c r="F12" s="518" t="s">
        <v>733</v>
      </c>
      <c r="G12" s="518" t="s">
        <v>676</v>
      </c>
      <c r="H12" s="518" t="s">
        <v>734</v>
      </c>
      <c r="I12" s="519" t="s">
        <v>735</v>
      </c>
    </row>
    <row r="13" spans="1:9" ht="13.8" thickTop="1" x14ac:dyDescent="0.25">
      <c r="A13" s="576" t="s">
        <v>736</v>
      </c>
      <c r="B13" s="372">
        <f>+D5/3</f>
        <v>20512972.480000004</v>
      </c>
      <c r="C13" s="372"/>
      <c r="D13" s="372"/>
      <c r="E13" s="372"/>
      <c r="F13" s="520"/>
      <c r="G13" s="372"/>
      <c r="H13" s="521"/>
      <c r="I13" s="373">
        <f>+'F-Cred'!$B$13*'RES CRED'!$C$22</f>
        <v>410259.44960000011</v>
      </c>
    </row>
    <row r="14" spans="1:9" x14ac:dyDescent="0.25">
      <c r="A14" s="577" t="s">
        <v>737</v>
      </c>
      <c r="B14" s="309">
        <f>+D5*(2/3)</f>
        <v>41025944.960000008</v>
      </c>
      <c r="C14" s="309"/>
      <c r="D14" s="309">
        <f>+B13*(InfoInicial!$B$40)</f>
        <v>2564121.5600000005</v>
      </c>
      <c r="E14" s="309"/>
      <c r="F14" s="355"/>
      <c r="G14" s="309"/>
      <c r="H14" s="400"/>
      <c r="I14" s="311">
        <f>+'F-Cred'!$B$13*'RES CRED'!$C$22</f>
        <v>410259.44960000011</v>
      </c>
    </row>
    <row r="15" spans="1:9" x14ac:dyDescent="0.25">
      <c r="A15" s="577" t="s">
        <v>738</v>
      </c>
      <c r="B15" s="309">
        <f>+$D$5</f>
        <v>61538917.440000013</v>
      </c>
      <c r="C15" s="309"/>
      <c r="D15" s="309">
        <f>+B14*(InfoInicial!$B$40)</f>
        <v>5128243.120000001</v>
      </c>
      <c r="E15" s="309"/>
      <c r="F15" s="355"/>
      <c r="G15" s="309"/>
      <c r="H15" s="400"/>
      <c r="I15" s="365">
        <f>+'F-Cred'!$B$13*'RES CRED'!$C$22</f>
        <v>410259.44960000011</v>
      </c>
    </row>
    <row r="16" spans="1:9" x14ac:dyDescent="0.25">
      <c r="A16" s="577" t="s">
        <v>739</v>
      </c>
      <c r="B16" s="309">
        <f>+$D$5</f>
        <v>61538917.440000013</v>
      </c>
      <c r="C16" s="309"/>
      <c r="D16" s="309">
        <f>+B15*(InfoInicial!$B$40)</f>
        <v>7692364.6800000016</v>
      </c>
      <c r="E16" s="309"/>
      <c r="F16" s="355"/>
      <c r="G16" s="309"/>
      <c r="H16" s="400"/>
      <c r="I16" s="362"/>
    </row>
    <row r="17" spans="1:11" x14ac:dyDescent="0.25">
      <c r="A17" s="522"/>
      <c r="B17" s="309"/>
      <c r="C17" s="309"/>
      <c r="D17" s="309"/>
      <c r="E17" s="309"/>
      <c r="F17" s="355"/>
      <c r="G17" s="309"/>
      <c r="H17" s="400"/>
      <c r="I17" s="311"/>
    </row>
    <row r="18" spans="1:11" x14ac:dyDescent="0.25">
      <c r="A18" s="522"/>
      <c r="B18" s="309"/>
      <c r="C18" s="309"/>
      <c r="D18" s="309"/>
      <c r="E18" s="309"/>
      <c r="F18" s="355"/>
      <c r="G18" s="309"/>
      <c r="H18" s="400"/>
      <c r="I18" s="311"/>
    </row>
    <row r="19" spans="1:11" x14ac:dyDescent="0.25">
      <c r="A19" s="522"/>
      <c r="B19" s="309"/>
      <c r="C19" s="309"/>
      <c r="D19" s="309"/>
      <c r="E19" s="309"/>
      <c r="F19" s="355"/>
      <c r="G19" s="309"/>
      <c r="H19" s="400"/>
      <c r="I19" s="311"/>
      <c r="K19" t="s">
        <v>740</v>
      </c>
    </row>
    <row r="20" spans="1:11" ht="13.8" thickBot="1" x14ac:dyDescent="0.3">
      <c r="A20" s="523"/>
      <c r="B20" s="317"/>
      <c r="C20" s="317"/>
      <c r="D20" s="364"/>
      <c r="E20" s="317"/>
      <c r="F20" s="463"/>
      <c r="G20" s="364"/>
      <c r="H20" s="524"/>
      <c r="I20" s="365"/>
    </row>
    <row r="21" spans="1:11" ht="14.4" thickTop="1" thickBot="1" x14ac:dyDescent="0.3">
      <c r="A21" s="283" t="s">
        <v>741</v>
      </c>
      <c r="B21" s="525"/>
      <c r="C21" s="525"/>
      <c r="D21" s="585">
        <f>+SUM(D14:D16)</f>
        <v>15384729.360000003</v>
      </c>
      <c r="E21" s="525"/>
      <c r="F21" s="126"/>
      <c r="G21" s="586">
        <f>+D21</f>
        <v>15384729.360000003</v>
      </c>
      <c r="H21" s="526"/>
      <c r="I21" s="587">
        <f>+SUM(I13:I20)</f>
        <v>1230778.3488000003</v>
      </c>
      <c r="K21" s="579">
        <f>+I21+G21</f>
        <v>16615507.708800003</v>
      </c>
    </row>
    <row r="22" spans="1:11" ht="13.8" thickTop="1" x14ac:dyDescent="0.25">
      <c r="A22" s="588">
        <v>36892</v>
      </c>
      <c r="B22" s="372">
        <f>+B16</f>
        <v>61538917.440000013</v>
      </c>
      <c r="C22" s="372"/>
      <c r="D22" s="327"/>
      <c r="E22" s="372"/>
      <c r="F22" s="520"/>
      <c r="G22" s="327"/>
      <c r="H22" s="521"/>
      <c r="I22" s="362"/>
    </row>
    <row r="23" spans="1:11" x14ac:dyDescent="0.25">
      <c r="A23" s="589">
        <v>37072</v>
      </c>
      <c r="B23" s="309">
        <f>+D5+D6</f>
        <v>79980468.190573752</v>
      </c>
      <c r="D23" s="309">
        <f>+(D5*InfoInicial!B39)+('F-Cred'!D6*InfoInicial!B44)</f>
        <v>21839272.12270081</v>
      </c>
      <c r="E23" s="309"/>
      <c r="F23" s="355"/>
      <c r="G23" s="309"/>
      <c r="H23" s="400"/>
      <c r="I23" s="311"/>
      <c r="K23" s="579">
        <f>+C23*D23</f>
        <v>0</v>
      </c>
    </row>
    <row r="24" spans="1:11" x14ac:dyDescent="0.25">
      <c r="A24" s="589">
        <v>37256</v>
      </c>
      <c r="B24" s="309">
        <f t="shared" ref="B24:B32" si="0">+B23-C24</f>
        <v>72288103.510573745</v>
      </c>
      <c r="C24" s="309">
        <f t="shared" ref="C24:C31" si="1">+$B$22/8</f>
        <v>7692364.6800000016</v>
      </c>
      <c r="D24" s="309">
        <f>+(D5*InfoInicial!B39)+('F-Cred'!D6*InfoInicial!B44)</f>
        <v>21839272.12270081</v>
      </c>
      <c r="E24" s="309">
        <f>+C24</f>
        <v>7692364.6800000016</v>
      </c>
      <c r="F24" s="309">
        <f>+(B22+B24)/2</f>
        <v>66913510.475286879</v>
      </c>
      <c r="G24" s="309">
        <f>+D23+D24</f>
        <v>43678544.245401621</v>
      </c>
      <c r="H24" s="507">
        <f>+G24/F24</f>
        <v>0.65276121272300291</v>
      </c>
      <c r="I24" s="311"/>
      <c r="K24" s="579">
        <f t="shared" ref="K24:K32" si="2">+C24+D24</f>
        <v>29531636.80270081</v>
      </c>
    </row>
    <row r="25" spans="1:11" x14ac:dyDescent="0.25">
      <c r="A25" s="589">
        <v>37437</v>
      </c>
      <c r="B25" s="309">
        <f t="shared" si="0"/>
        <v>64595738.830573745</v>
      </c>
      <c r="C25" s="309">
        <f t="shared" si="1"/>
        <v>7692364.6800000016</v>
      </c>
      <c r="D25" s="309">
        <f>+(($D$5-C24)*InfoInicial!$B$39)+('F-Cred'!$D$6*InfoInicial!$B$44)</f>
        <v>19916180.952700809</v>
      </c>
      <c r="E25" s="309"/>
      <c r="F25" s="309"/>
      <c r="G25" s="309"/>
      <c r="H25" s="507"/>
      <c r="I25" s="311"/>
      <c r="K25" s="579">
        <f t="shared" si="2"/>
        <v>27608545.632700808</v>
      </c>
    </row>
    <row r="26" spans="1:11" x14ac:dyDescent="0.25">
      <c r="A26" s="589">
        <v>37621</v>
      </c>
      <c r="B26" s="309">
        <f t="shared" si="0"/>
        <v>56903374.150573745</v>
      </c>
      <c r="C26" s="309">
        <f t="shared" si="1"/>
        <v>7692364.6800000016</v>
      </c>
      <c r="D26" s="309">
        <f>+(($D$5-C24-C25)*InfoInicial!$B$39)+('F-Cred'!$D$6*InfoInicial!$B$44)</f>
        <v>17993089.782700807</v>
      </c>
      <c r="E26" s="309">
        <f>+C25+C26</f>
        <v>15384729.360000003</v>
      </c>
      <c r="F26" s="309">
        <f>+(B24+B26)/2</f>
        <v>64595738.830573745</v>
      </c>
      <c r="G26" s="309">
        <f>+D25+D26</f>
        <v>37909270.735401616</v>
      </c>
      <c r="H26" s="507">
        <f>+G26/F26</f>
        <v>0.58686952764535627</v>
      </c>
      <c r="I26" s="311"/>
      <c r="K26" s="579">
        <f t="shared" si="2"/>
        <v>25685454.462700807</v>
      </c>
    </row>
    <row r="27" spans="1:11" x14ac:dyDescent="0.25">
      <c r="A27" s="589">
        <v>37802</v>
      </c>
      <c r="B27" s="309">
        <f t="shared" si="0"/>
        <v>49211009.470573746</v>
      </c>
      <c r="C27" s="309">
        <f t="shared" si="1"/>
        <v>7692364.6800000016</v>
      </c>
      <c r="D27" s="309">
        <f>+(($D$5-C24-C25-C26)*InfoInicial!$B$39)+('F-Cred'!$D$6*InfoInicial!$B$44)</f>
        <v>16069998.612700809</v>
      </c>
      <c r="E27" s="309"/>
      <c r="F27" s="309"/>
      <c r="G27" s="309"/>
      <c r="H27" s="507"/>
      <c r="I27" s="311"/>
      <c r="K27" s="579">
        <f t="shared" si="2"/>
        <v>23762363.292700812</v>
      </c>
    </row>
    <row r="28" spans="1:11" x14ac:dyDescent="0.25">
      <c r="A28" s="589">
        <v>37986</v>
      </c>
      <c r="B28" s="309">
        <f t="shared" si="0"/>
        <v>41518644.790573746</v>
      </c>
      <c r="C28" s="309">
        <f t="shared" si="1"/>
        <v>7692364.6800000016</v>
      </c>
      <c r="D28" s="309">
        <f>+(($D$5-C24-C25-C26-C27)*InfoInicial!$B$39)+('F-Cred'!$D$6*InfoInicial!$B$44)</f>
        <v>14146907.442700809</v>
      </c>
      <c r="E28" s="309">
        <f>+C28+C27</f>
        <v>15384729.360000003</v>
      </c>
      <c r="F28" s="309">
        <f>+(B26+B28)/2</f>
        <v>49211009.470573746</v>
      </c>
      <c r="G28" s="309">
        <f>+D27+D28</f>
        <v>30216906.055401616</v>
      </c>
      <c r="H28" s="507">
        <f>+G28/F28</f>
        <v>0.61402735648961115</v>
      </c>
      <c r="I28" s="311"/>
      <c r="K28" s="579">
        <f t="shared" si="2"/>
        <v>21839272.12270081</v>
      </c>
    </row>
    <row r="29" spans="1:11" x14ac:dyDescent="0.25">
      <c r="A29" s="589">
        <v>38168</v>
      </c>
      <c r="B29" s="309">
        <f t="shared" si="0"/>
        <v>33826280.110573746</v>
      </c>
      <c r="C29" s="309">
        <f t="shared" si="1"/>
        <v>7692364.6800000016</v>
      </c>
      <c r="D29" s="309">
        <f>+(($D$5-C24-C25-C26-C27-C28)*InfoInicial!$B$39)+('F-Cred'!$D$6*InfoInicial!$B$44)</f>
        <v>12223816.272700809</v>
      </c>
      <c r="E29" s="309"/>
      <c r="F29" s="309"/>
      <c r="G29" s="309"/>
      <c r="H29" s="507"/>
      <c r="I29" s="311"/>
      <c r="K29" s="579">
        <f t="shared" si="2"/>
        <v>19916180.952700809</v>
      </c>
    </row>
    <row r="30" spans="1:11" x14ac:dyDescent="0.25">
      <c r="A30" s="589">
        <v>38352</v>
      </c>
      <c r="B30" s="309">
        <f t="shared" si="0"/>
        <v>26133915.430573747</v>
      </c>
      <c r="C30" s="309">
        <f t="shared" si="1"/>
        <v>7692364.6800000016</v>
      </c>
      <c r="D30" s="309">
        <f>+(($D$5-C24-C25-C26-C27-C28-C29)*InfoInicial!$B$39)+('F-Cred'!$D$6*InfoInicial!$B$44)</f>
        <v>10300725.102700809</v>
      </c>
      <c r="E30" s="309">
        <f>+C30+C29</f>
        <v>15384729.360000003</v>
      </c>
      <c r="F30" s="309">
        <f>+(B28+B30)/2</f>
        <v>33826280.110573746</v>
      </c>
      <c r="G30" s="309">
        <f>+D29+D30</f>
        <v>22524541.375401616</v>
      </c>
      <c r="H30" s="507">
        <f>+G30/F30</f>
        <v>0.66588880899028202</v>
      </c>
      <c r="I30" s="311"/>
      <c r="K30" s="579">
        <f t="shared" si="2"/>
        <v>17993089.782700811</v>
      </c>
    </row>
    <row r="31" spans="1:11" x14ac:dyDescent="0.25">
      <c r="A31" s="589">
        <v>38533</v>
      </c>
      <c r="B31" s="309">
        <f t="shared" si="0"/>
        <v>18441550.750573747</v>
      </c>
      <c r="C31" s="309">
        <f t="shared" si="1"/>
        <v>7692364.6800000016</v>
      </c>
      <c r="D31" s="309">
        <f>+(($D$5-C24-C25-C26-C27-C28-C29-C30)*InfoInicial!$B$39)+('F-Cred'!$D$6*InfoInicial!$B$44)</f>
        <v>8377633.9327008082</v>
      </c>
      <c r="E31" s="309"/>
      <c r="F31" s="309"/>
      <c r="G31" s="309"/>
      <c r="H31" s="507"/>
      <c r="I31" s="311"/>
      <c r="K31" s="579">
        <f t="shared" si="2"/>
        <v>16069998.612700809</v>
      </c>
    </row>
    <row r="32" spans="1:11" x14ac:dyDescent="0.25">
      <c r="A32" s="589">
        <v>38717</v>
      </c>
      <c r="B32" s="309">
        <f t="shared" si="0"/>
        <v>18441550.750573747</v>
      </c>
      <c r="C32" s="309"/>
      <c r="D32" s="309">
        <f>+D6*InfoInicial!B44</f>
        <v>6454542.7627008054</v>
      </c>
      <c r="E32" s="309">
        <f>+C31</f>
        <v>7692364.6800000016</v>
      </c>
      <c r="F32" s="309">
        <f>+(B30+B32)/2</f>
        <v>22287733.090573747</v>
      </c>
      <c r="G32" s="309">
        <f>+D31+D32</f>
        <v>14832176.695401613</v>
      </c>
      <c r="H32" s="507">
        <f>+G32/F32</f>
        <v>0.6654861055238791</v>
      </c>
      <c r="I32" s="311"/>
      <c r="K32" s="579">
        <f t="shared" si="2"/>
        <v>6454542.7627008054</v>
      </c>
    </row>
    <row r="33" spans="1:9" x14ac:dyDescent="0.25">
      <c r="A33" s="527"/>
      <c r="B33" s="309"/>
      <c r="C33" s="309"/>
      <c r="D33" s="309"/>
      <c r="E33" s="309"/>
      <c r="F33" s="309"/>
      <c r="G33" s="309"/>
      <c r="H33" s="507"/>
      <c r="I33" s="311"/>
    </row>
    <row r="34" spans="1:9" x14ac:dyDescent="0.25">
      <c r="A34" s="527"/>
      <c r="B34" s="309"/>
      <c r="C34" s="309"/>
      <c r="D34" s="309"/>
      <c r="E34" s="309"/>
      <c r="F34" s="309"/>
      <c r="G34" s="309"/>
      <c r="H34" s="507"/>
      <c r="I34" s="311"/>
    </row>
    <row r="35" spans="1:9" x14ac:dyDescent="0.25">
      <c r="A35" s="527"/>
      <c r="B35" s="309"/>
      <c r="C35" s="309"/>
      <c r="D35" s="309"/>
      <c r="E35" s="309"/>
      <c r="F35" s="355"/>
      <c r="G35" s="309"/>
      <c r="H35" s="400"/>
      <c r="I35" s="311"/>
    </row>
    <row r="36" spans="1:9" x14ac:dyDescent="0.25">
      <c r="A36" s="527"/>
      <c r="B36" s="309"/>
      <c r="C36" s="309"/>
      <c r="D36" s="309"/>
      <c r="E36" s="309"/>
      <c r="F36" s="309"/>
      <c r="G36" s="309"/>
      <c r="H36" s="507"/>
      <c r="I36" s="311"/>
    </row>
    <row r="37" spans="1:9" x14ac:dyDescent="0.25">
      <c r="A37" s="522"/>
      <c r="B37" s="309"/>
      <c r="C37" s="309"/>
      <c r="D37" s="309"/>
      <c r="E37" s="309"/>
      <c r="F37" s="355"/>
      <c r="G37" s="309"/>
      <c r="H37" s="400"/>
      <c r="I37" s="311"/>
    </row>
    <row r="38" spans="1:9" x14ac:dyDescent="0.25">
      <c r="A38" s="371" t="s">
        <v>742</v>
      </c>
      <c r="B38" s="509"/>
      <c r="C38" s="509">
        <f>+SUM(C24:C37)</f>
        <v>61538917.440000005</v>
      </c>
      <c r="D38" s="509">
        <f>+SUM(D24:D37)</f>
        <v>127322166.98430729</v>
      </c>
      <c r="E38" s="509">
        <f>+SUM(E24:E37)</f>
        <v>61538917.440000005</v>
      </c>
      <c r="F38" s="509"/>
      <c r="G38" s="509">
        <f>+SUM(G24:G37)</f>
        <v>149161439.10700807</v>
      </c>
      <c r="H38" s="509"/>
      <c r="I38" s="528">
        <f>+I21</f>
        <v>1230778.3488000003</v>
      </c>
    </row>
  </sheetData>
  <mergeCells count="3">
    <mergeCell ref="B3:C3"/>
    <mergeCell ref="D3:E3"/>
    <mergeCell ref="F3:G3"/>
  </mergeCells>
  <pageMargins left="0.25972222222222202" right="0.45972222222222198" top="0.42986111111111103" bottom="1" header="0.511811023622047" footer="0.511811023622047"/>
  <pageSetup paperSize="9" fitToHeight="4"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5"/>
  <sheetViews>
    <sheetView zoomScale="140" zoomScaleNormal="140" workbookViewId="0">
      <selection activeCell="G14" sqref="G14"/>
    </sheetView>
  </sheetViews>
  <sheetFormatPr baseColWidth="10" defaultColWidth="11.33203125" defaultRowHeight="13.2" x14ac:dyDescent="0.25"/>
  <cols>
    <col min="1" max="1" width="34.44140625" customWidth="1"/>
    <col min="2" max="2" width="16.109375" bestFit="1" customWidth="1"/>
    <col min="3" max="6" width="17.6640625" bestFit="1" customWidth="1"/>
    <col min="7" max="7" width="18.88671875" customWidth="1"/>
    <col min="8" max="8" width="17.33203125" customWidth="1"/>
  </cols>
  <sheetData>
    <row r="1" spans="1:7" x14ac:dyDescent="0.25">
      <c r="A1" s="281" t="s">
        <v>405</v>
      </c>
      <c r="E1" s="501"/>
      <c r="F1" s="282">
        <f>InfoInicial!E1</f>
        <v>11</v>
      </c>
    </row>
    <row r="2" spans="1:7" ht="15.6" x14ac:dyDescent="0.3">
      <c r="A2" s="428" t="s">
        <v>743</v>
      </c>
      <c r="B2" s="297"/>
      <c r="C2" s="297"/>
      <c r="D2" s="297"/>
      <c r="E2" s="297"/>
      <c r="F2" s="297"/>
      <c r="G2" s="298"/>
    </row>
    <row r="3" spans="1:7" x14ac:dyDescent="0.25">
      <c r="A3" s="299" t="s">
        <v>407</v>
      </c>
      <c r="B3" s="301" t="s">
        <v>92</v>
      </c>
      <c r="C3" s="301" t="s">
        <v>284</v>
      </c>
      <c r="D3" s="301" t="s">
        <v>285</v>
      </c>
      <c r="E3" s="301" t="s">
        <v>286</v>
      </c>
      <c r="F3" s="302" t="s">
        <v>287</v>
      </c>
      <c r="G3" s="303" t="s">
        <v>410</v>
      </c>
    </row>
    <row r="4" spans="1:7" x14ac:dyDescent="0.25">
      <c r="A4" t="s">
        <v>744</v>
      </c>
      <c r="B4" s="309">
        <f>+'E-Costos'!B106</f>
        <v>772118200</v>
      </c>
      <c r="C4" s="309">
        <f>+'E-Costos'!C106</f>
        <v>1070899200</v>
      </c>
      <c r="D4" s="309">
        <f>+'E-Costos'!D106</f>
        <v>1017354240</v>
      </c>
      <c r="E4" s="309">
        <f>+'E-Costos'!E106</f>
        <v>1070899200</v>
      </c>
      <c r="F4" s="309">
        <f>+'E-Costos'!F106</f>
        <v>1070899200</v>
      </c>
      <c r="G4" s="311">
        <f t="shared" ref="G4:G14" si="0">+SUM(B4:F4)</f>
        <v>5002170040</v>
      </c>
    </row>
    <row r="5" spans="1:7" x14ac:dyDescent="0.25">
      <c r="A5" t="s">
        <v>745</v>
      </c>
      <c r="B5" s="309">
        <f>+'E-Costos'!B126</f>
        <v>512043064.48132658</v>
      </c>
      <c r="C5" s="309">
        <f>+'E-Costos'!C126</f>
        <v>709599843.10234952</v>
      </c>
      <c r="D5" s="309">
        <f>+'E-Costos'!D126</f>
        <v>678048563.59221578</v>
      </c>
      <c r="E5" s="309">
        <f>+'E-Costos'!E126</f>
        <v>709342200.42501736</v>
      </c>
      <c r="F5" s="309">
        <f>+'E-Costos'!F126</f>
        <v>709534094.42248094</v>
      </c>
      <c r="G5" s="311">
        <f t="shared" si="0"/>
        <v>3318567766.0233903</v>
      </c>
    </row>
    <row r="6" spans="1:7" x14ac:dyDescent="0.25">
      <c r="A6" t="s">
        <v>746</v>
      </c>
      <c r="B6" s="309">
        <f>+B4-B5</f>
        <v>260075135.51867342</v>
      </c>
      <c r="C6" s="309">
        <f>+C4-C5</f>
        <v>361299356.89765048</v>
      </c>
      <c r="D6" s="309">
        <f>+D4-D5</f>
        <v>339305676.40778422</v>
      </c>
      <c r="E6" s="309">
        <f>+E4-E5</f>
        <v>361556999.57498264</v>
      </c>
      <c r="F6" s="309">
        <f>+F4-F5</f>
        <v>361365105.57751906</v>
      </c>
      <c r="G6" s="311">
        <f t="shared" si="0"/>
        <v>1683602273.9766097</v>
      </c>
    </row>
    <row r="7" spans="1:7" x14ac:dyDescent="0.25">
      <c r="A7" s="558" t="s">
        <v>463</v>
      </c>
      <c r="B7" s="559"/>
      <c r="C7" s="559"/>
      <c r="D7" s="559"/>
      <c r="E7" s="559"/>
      <c r="F7" s="560"/>
      <c r="G7" s="561">
        <f t="shared" si="0"/>
        <v>0</v>
      </c>
    </row>
    <row r="8" spans="1:7" x14ac:dyDescent="0.25">
      <c r="A8" t="s">
        <v>747</v>
      </c>
      <c r="B8" s="309">
        <f>+'E-Costos'!B128</f>
        <v>21959101.865781754</v>
      </c>
      <c r="C8" s="309">
        <f>+'E-Costos'!C128</f>
        <v>21959101.865781754</v>
      </c>
      <c r="D8" s="309">
        <f>+'E-Costos'!D128</f>
        <v>12177120.63545474</v>
      </c>
      <c r="E8" s="309">
        <f>+'E-Costos'!E128</f>
        <v>21959101.865781754</v>
      </c>
      <c r="F8" s="309">
        <f>+'E-Costos'!F128</f>
        <v>21959101.865781754</v>
      </c>
      <c r="G8" s="311">
        <f t="shared" si="0"/>
        <v>100013528.09858176</v>
      </c>
    </row>
    <row r="9" spans="1:7" x14ac:dyDescent="0.25">
      <c r="A9" t="s">
        <v>748</v>
      </c>
      <c r="B9" s="309">
        <f>+'E-Costos'!B129</f>
        <v>7080601.865781758</v>
      </c>
      <c r="C9" s="309">
        <f>+'E-Costos'!C129</f>
        <v>7080601.865781758</v>
      </c>
      <c r="D9" s="309">
        <f>+'E-Costos'!D129</f>
        <v>4737870.6354547394</v>
      </c>
      <c r="E9" s="309">
        <f>+'E-Costos'!E129</f>
        <v>7080601.865781758</v>
      </c>
      <c r="F9" s="309">
        <f>+'E-Costos'!F129</f>
        <v>7080601.865781758</v>
      </c>
      <c r="G9" s="311">
        <f t="shared" si="0"/>
        <v>33060278.098581772</v>
      </c>
    </row>
    <row r="10" spans="1:7" x14ac:dyDescent="0.25">
      <c r="A10" t="s">
        <v>749</v>
      </c>
      <c r="B10" s="309">
        <f>+'RES CRED'!E25</f>
        <v>49217046.815001622</v>
      </c>
      <c r="C10" s="309">
        <f>+'RES CRED'!E26</f>
        <v>43447773.305001616</v>
      </c>
      <c r="D10" s="309">
        <f>+'RES CRED'!E27</f>
        <v>35755408.625001617</v>
      </c>
      <c r="E10" s="309">
        <f>+'RES CRED'!E28</f>
        <v>22524541.375401616</v>
      </c>
      <c r="F10" s="310">
        <f>+'RES CRED'!E29</f>
        <v>14832176.695401613</v>
      </c>
      <c r="G10" s="311">
        <f t="shared" si="0"/>
        <v>165776946.81580809</v>
      </c>
    </row>
    <row r="11" spans="1:7" x14ac:dyDescent="0.25">
      <c r="A11" s="294" t="s">
        <v>750</v>
      </c>
      <c r="B11" s="309">
        <f>+B6-B8-B9-B10</f>
        <v>181818384.9721083</v>
      </c>
      <c r="C11" s="309">
        <f>+C6-C8-C9-C10</f>
        <v>288811879.8610853</v>
      </c>
      <c r="D11" s="309">
        <f>+D6-D8-D9-D10</f>
        <v>286635276.51187319</v>
      </c>
      <c r="E11" s="309">
        <f>+E6-E8-E9-E10</f>
        <v>309992754.46801746</v>
      </c>
      <c r="F11" s="309">
        <f>+F6-F8-F9-F10</f>
        <v>317493225.15055388</v>
      </c>
      <c r="G11" s="311">
        <f t="shared" si="0"/>
        <v>1384751520.9636381</v>
      </c>
    </row>
    <row r="12" spans="1:7" x14ac:dyDescent="0.25">
      <c r="A12" t="s">
        <v>751</v>
      </c>
      <c r="B12" s="309">
        <f>+B11*InfoInicial!$B$5</f>
        <v>18181838.49721083</v>
      </c>
      <c r="C12" s="309">
        <f>+C11*InfoInicial!$B$5</f>
        <v>28881187.98610853</v>
      </c>
      <c r="D12" s="309">
        <f>+D11*InfoInicial!$B$5</f>
        <v>28663527.651187319</v>
      </c>
      <c r="E12" s="309">
        <f>+E11*InfoInicial!$B$5</f>
        <v>30999275.446801748</v>
      </c>
      <c r="F12" s="309">
        <f>+F11*InfoInicial!$B$5</f>
        <v>31749322.515055388</v>
      </c>
      <c r="G12" s="311">
        <f t="shared" si="0"/>
        <v>138475152.09636381</v>
      </c>
    </row>
    <row r="13" spans="1:7" x14ac:dyDescent="0.25">
      <c r="A13" s="151" t="s">
        <v>752</v>
      </c>
      <c r="B13" s="309">
        <f>+B11*InfoInicial!$B$4</f>
        <v>63636434.740237899</v>
      </c>
      <c r="C13" s="309">
        <f>+C11*InfoInicial!$B$4</f>
        <v>101084157.95137985</v>
      </c>
      <c r="D13" s="309">
        <f>+D11*InfoInicial!$B$4</f>
        <v>100322346.77915561</v>
      </c>
      <c r="E13" s="309">
        <f>+E11*InfoInicial!$B$4</f>
        <v>108497464.0638061</v>
      </c>
      <c r="F13" s="309">
        <f>+F11*InfoInicial!$B$4</f>
        <v>111122628.80269386</v>
      </c>
      <c r="G13" s="311">
        <f t="shared" si="0"/>
        <v>484663032.3372733</v>
      </c>
    </row>
    <row r="14" spans="1:7" ht="13.8" thickBot="1" x14ac:dyDescent="0.3">
      <c r="A14" s="316" t="s">
        <v>753</v>
      </c>
      <c r="B14" s="317">
        <f>+B11-B12-B13</f>
        <v>100000111.73465958</v>
      </c>
      <c r="C14" s="317">
        <f>+C11-C12-C13</f>
        <v>158846533.92359692</v>
      </c>
      <c r="D14" s="317">
        <f>+D11-D12-D13</f>
        <v>157649402.08153024</v>
      </c>
      <c r="E14" s="317">
        <f>+E11-E12-E13</f>
        <v>170496014.95740962</v>
      </c>
      <c r="F14" s="317">
        <f>+F11-F12-F13</f>
        <v>174621273.83280468</v>
      </c>
      <c r="G14" s="496">
        <f t="shared" si="0"/>
        <v>761613336.53000104</v>
      </c>
    </row>
    <row r="15" spans="1:7" ht="13.8" thickTop="1" x14ac:dyDescent="0.25"/>
  </sheetData>
  <pageMargins left="0.25972222222222202" right="0.45972222222222198" top="1.27013888888889" bottom="1" header="0.511811023622047" footer="0.511811023622047"/>
  <pageSetup paperSize="9" fitToHeight="4"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2"/>
  <sheetViews>
    <sheetView zoomScale="130" zoomScaleNormal="130" workbookViewId="0">
      <selection activeCell="B18" sqref="B18"/>
    </sheetView>
  </sheetViews>
  <sheetFormatPr baseColWidth="10" defaultColWidth="11.33203125" defaultRowHeight="13.2" x14ac:dyDescent="0.25"/>
  <cols>
    <col min="1" max="1" width="44.44140625" customWidth="1"/>
    <col min="2" max="2" width="16.109375" customWidth="1"/>
    <col min="3" max="7" width="16.109375" bestFit="1" customWidth="1"/>
    <col min="8" max="8" width="17.33203125" customWidth="1"/>
  </cols>
  <sheetData>
    <row r="1" spans="1:7" x14ac:dyDescent="0.25">
      <c r="A1" s="281" t="s">
        <v>405</v>
      </c>
      <c r="E1" s="282">
        <f>InfoInicial!E1</f>
        <v>11</v>
      </c>
    </row>
    <row r="2" spans="1:7" ht="15.6" x14ac:dyDescent="0.3">
      <c r="A2" s="428" t="s">
        <v>521</v>
      </c>
      <c r="B2" s="297"/>
      <c r="C2" s="297"/>
      <c r="D2" s="297"/>
      <c r="E2" s="297"/>
      <c r="F2" s="297"/>
      <c r="G2" s="298"/>
    </row>
    <row r="3" spans="1:7" ht="15.6" x14ac:dyDescent="0.3">
      <c r="A3" s="429"/>
      <c r="B3" s="430" t="s">
        <v>522</v>
      </c>
      <c r="C3" s="430"/>
      <c r="D3" s="430"/>
      <c r="E3" s="430"/>
      <c r="F3" s="430"/>
      <c r="G3" s="431"/>
    </row>
    <row r="4" spans="1:7" ht="13.8" thickBot="1" x14ac:dyDescent="0.3">
      <c r="A4" s="432" t="s">
        <v>407</v>
      </c>
      <c r="B4" s="300" t="s">
        <v>259</v>
      </c>
      <c r="C4" s="301" t="s">
        <v>92</v>
      </c>
      <c r="D4" s="301" t="s">
        <v>284</v>
      </c>
      <c r="E4" s="301" t="s">
        <v>285</v>
      </c>
      <c r="F4" s="301" t="s">
        <v>286</v>
      </c>
      <c r="G4" s="303" t="s">
        <v>287</v>
      </c>
    </row>
    <row r="5" spans="1:7" ht="13.8" thickTop="1" x14ac:dyDescent="0.25">
      <c r="A5" s="531" t="s">
        <v>754</v>
      </c>
      <c r="B5" s="532"/>
      <c r="C5" s="305"/>
      <c r="D5" s="305"/>
      <c r="E5" s="305"/>
      <c r="F5" s="305"/>
      <c r="G5" s="591"/>
    </row>
    <row r="6" spans="1:7" x14ac:dyDescent="0.25">
      <c r="A6" s="533" t="s">
        <v>755</v>
      </c>
      <c r="B6" s="491"/>
      <c r="C6" s="309">
        <f>+'E-IVA '!C17</f>
        <v>67241345.794979721</v>
      </c>
      <c r="D6" s="309">
        <f>+'E-IVA '!D17</f>
        <v>109349512.69746569</v>
      </c>
      <c r="E6" s="309">
        <f>+'E-IVA '!E17</f>
        <v>109428549.22584185</v>
      </c>
      <c r="F6" s="309">
        <f>+'E-IVA '!F17</f>
        <v>109768822.63661465</v>
      </c>
      <c r="G6" s="311">
        <f>+'E-IVA '!G17</f>
        <v>109772564.58424553</v>
      </c>
    </row>
    <row r="7" spans="1:7" x14ac:dyDescent="0.25">
      <c r="A7" s="533" t="s">
        <v>756</v>
      </c>
      <c r="B7" s="491"/>
      <c r="C7" s="309">
        <f>+'E-IVA '!C18</f>
        <v>73145.525957700011</v>
      </c>
      <c r="D7" s="309">
        <f>+'E-IVA '!D18</f>
        <v>73145.525957700011</v>
      </c>
      <c r="E7" s="309">
        <f>+'E-IVA '!E18</f>
        <v>65830.97336193001</v>
      </c>
      <c r="F7" s="309">
        <f>+'E-IVA '!F18</f>
        <v>73145.525957700011</v>
      </c>
      <c r="G7" s="311">
        <f>+'E-IVA '!G18</f>
        <v>73145.525957700011</v>
      </c>
    </row>
    <row r="8" spans="1:7" x14ac:dyDescent="0.25">
      <c r="A8" s="534" t="s">
        <v>757</v>
      </c>
      <c r="B8" s="491"/>
      <c r="C8" s="309">
        <f>+'E-IVA '!C19</f>
        <v>37802.516244612001</v>
      </c>
      <c r="D8" s="309">
        <f>+'E-IVA '!D19</f>
        <v>37802.516244612001</v>
      </c>
      <c r="E8" s="309">
        <f>+'E-IVA '!E19</f>
        <v>34022.264620150796</v>
      </c>
      <c r="F8" s="309">
        <f>+'E-IVA '!F19</f>
        <v>37802.516244612001</v>
      </c>
      <c r="G8" s="311">
        <f>+'E-IVA '!G19</f>
        <v>37802.516244612001</v>
      </c>
    </row>
    <row r="9" spans="1:7" x14ac:dyDescent="0.25">
      <c r="A9" s="534" t="s">
        <v>758</v>
      </c>
      <c r="B9" s="491"/>
      <c r="C9" s="309">
        <f>+'F-Cred'!G24*InfoInicial!$B$3</f>
        <v>9172494.29153434</v>
      </c>
      <c r="D9" s="309">
        <f>+'F-Cred'!G26*InfoInicial!$B$3</f>
        <v>7960946.8544343393</v>
      </c>
      <c r="E9" s="309">
        <f>+'F-Cred'!G28*InfoInicial!$B$3</f>
        <v>6345550.2716343394</v>
      </c>
      <c r="F9" s="309">
        <f>+'F-Cred'!G30*InfoInicial!$B$3</f>
        <v>4730153.6888343394</v>
      </c>
      <c r="G9" s="311">
        <f>+'F-Cred'!G32*InfoInicial!$B$3</f>
        <v>3114757.1060343385</v>
      </c>
    </row>
    <row r="10" spans="1:7" x14ac:dyDescent="0.25">
      <c r="A10" s="535" t="s">
        <v>759</v>
      </c>
      <c r="B10" s="309">
        <f t="shared" ref="B10:G10" si="0">+SUM(B6:B9)</f>
        <v>0</v>
      </c>
      <c r="C10" s="309">
        <f t="shared" si="0"/>
        <v>76524788.128716365</v>
      </c>
      <c r="D10" s="309">
        <f t="shared" si="0"/>
        <v>117421407.59410234</v>
      </c>
      <c r="E10" s="309">
        <f t="shared" si="0"/>
        <v>115873952.73545827</v>
      </c>
      <c r="F10" s="309">
        <f t="shared" si="0"/>
        <v>114609924.3676513</v>
      </c>
      <c r="G10" s="311">
        <f t="shared" si="0"/>
        <v>112998269.73248218</v>
      </c>
    </row>
    <row r="11" spans="1:7" x14ac:dyDescent="0.25">
      <c r="A11" s="535"/>
      <c r="B11" s="492"/>
      <c r="C11" s="312"/>
      <c r="D11" s="312"/>
      <c r="E11" s="312"/>
      <c r="F11" s="312"/>
      <c r="G11" s="314"/>
    </row>
    <row r="12" spans="1:7" x14ac:dyDescent="0.25">
      <c r="A12" s="533" t="s">
        <v>535</v>
      </c>
      <c r="B12" s="309">
        <f t="shared" ref="B12:G12" si="1">+B10</f>
        <v>0</v>
      </c>
      <c r="C12" s="309">
        <f t="shared" si="1"/>
        <v>76524788.128716365</v>
      </c>
      <c r="D12" s="309">
        <f t="shared" si="1"/>
        <v>117421407.59410234</v>
      </c>
      <c r="E12" s="309">
        <f t="shared" si="1"/>
        <v>115873952.73545827</v>
      </c>
      <c r="F12" s="309">
        <f t="shared" si="1"/>
        <v>114609924.3676513</v>
      </c>
      <c r="G12" s="311">
        <f t="shared" si="1"/>
        <v>112998269.73248218</v>
      </c>
    </row>
    <row r="13" spans="1:7" x14ac:dyDescent="0.25">
      <c r="A13" s="533" t="s">
        <v>536</v>
      </c>
      <c r="B13" s="309">
        <f>+'E-IVA '!B22</f>
        <v>0</v>
      </c>
      <c r="C13" s="309">
        <f>+'E-IVA '!C22</f>
        <v>162144822</v>
      </c>
      <c r="D13" s="309">
        <f>+'E-IVA '!D22</f>
        <v>224888832</v>
      </c>
      <c r="E13" s="309">
        <f>+'E-IVA '!E22</f>
        <v>213644390.40000001</v>
      </c>
      <c r="F13" s="309">
        <f>+'E-IVA '!F22</f>
        <v>224888832</v>
      </c>
      <c r="G13" s="311">
        <f>+'E-IVA '!G22</f>
        <v>224888832</v>
      </c>
    </row>
    <row r="14" spans="1:7" x14ac:dyDescent="0.25">
      <c r="A14" s="535" t="s">
        <v>760</v>
      </c>
      <c r="B14" s="309">
        <f t="shared" ref="B14:G14" si="2">+B13-B12</f>
        <v>0</v>
      </c>
      <c r="C14" s="309">
        <f t="shared" si="2"/>
        <v>85620033.871283635</v>
      </c>
      <c r="D14" s="309">
        <f t="shared" si="2"/>
        <v>107467424.40589766</v>
      </c>
      <c r="E14" s="309">
        <f t="shared" si="2"/>
        <v>97770437.664541736</v>
      </c>
      <c r="F14" s="309">
        <f t="shared" si="2"/>
        <v>110278907.6323487</v>
      </c>
      <c r="G14" s="311">
        <f t="shared" si="2"/>
        <v>111890562.26751782</v>
      </c>
    </row>
    <row r="15" spans="1:7" x14ac:dyDescent="0.25">
      <c r="A15" s="533"/>
      <c r="B15" s="492"/>
      <c r="C15" s="312"/>
      <c r="D15" s="312"/>
      <c r="E15" s="312"/>
      <c r="F15" s="312"/>
      <c r="G15" s="314"/>
    </row>
    <row r="16" spans="1:7" x14ac:dyDescent="0.25">
      <c r="A16" s="536" t="s">
        <v>761</v>
      </c>
      <c r="B16" s="491"/>
      <c r="C16" s="309">
        <f>+B18</f>
        <v>78967035.483022273</v>
      </c>
      <c r="D16" s="309">
        <f>+C18</f>
        <v>12237881.311189011</v>
      </c>
      <c r="E16" s="309">
        <f>+D18</f>
        <v>0</v>
      </c>
      <c r="F16" s="309">
        <f>+E18</f>
        <v>0</v>
      </c>
      <c r="G16" s="311">
        <f>+F18</f>
        <v>0</v>
      </c>
    </row>
    <row r="17" spans="1:7" x14ac:dyDescent="0.25">
      <c r="A17" s="536" t="s">
        <v>762</v>
      </c>
      <c r="B17" s="491">
        <f>+'F-2 Estructura'!B9+'F-2 Estructura'!B21</f>
        <v>78967035.483022273</v>
      </c>
      <c r="C17" s="491">
        <f>+'F-2 Estructura'!C9+'F-2 Estructura'!C21</f>
        <v>18890879.699450374</v>
      </c>
      <c r="D17" s="309">
        <f>+'E-IVA '!D26</f>
        <v>-6718.1173510631916</v>
      </c>
      <c r="E17" s="309">
        <f>+'E-IVA '!E26</f>
        <v>17163726.904109586</v>
      </c>
      <c r="F17" s="309">
        <f>+'E-IVA '!F26</f>
        <v>-17163726.904109586</v>
      </c>
      <c r="G17" s="311">
        <f>+'E-IVA '!G26</f>
        <v>0</v>
      </c>
    </row>
    <row r="18" spans="1:7" x14ac:dyDescent="0.25">
      <c r="A18" s="535" t="s">
        <v>763</v>
      </c>
      <c r="B18" s="491">
        <f>+B17-B16</f>
        <v>78967035.483022273</v>
      </c>
      <c r="C18" s="309">
        <f>+IF(C17+C16-C14&lt;0,0,C17+C16-C14)</f>
        <v>12237881.311189011</v>
      </c>
      <c r="D18" s="309">
        <f>+IF(D17+D16-D14&lt;0,0,D17+D16-D14)</f>
        <v>0</v>
      </c>
      <c r="E18" s="309">
        <f>+IF(E17+E16-E14&lt;0,0,E17+E16-E14)</f>
        <v>0</v>
      </c>
      <c r="F18" s="309">
        <f>+IF(F17+F16-F14&lt;0,0,F17+F16-F14)</f>
        <v>0</v>
      </c>
      <c r="G18" s="311">
        <f>+IF(G17+G16-G14&lt;0,0,G17+G16-G14)</f>
        <v>0</v>
      </c>
    </row>
    <row r="19" spans="1:7" x14ac:dyDescent="0.25">
      <c r="A19" s="535" t="s">
        <v>764</v>
      </c>
      <c r="B19" s="491">
        <f t="shared" ref="B19:G19" si="3">+B16+B17-B18</f>
        <v>0</v>
      </c>
      <c r="C19" s="491">
        <f t="shared" si="3"/>
        <v>85620033.871283635</v>
      </c>
      <c r="D19" s="491">
        <f>+D16+D17-D18</f>
        <v>12231163.193837948</v>
      </c>
      <c r="E19" s="491">
        <f t="shared" si="3"/>
        <v>17163726.904109586</v>
      </c>
      <c r="F19" s="491">
        <f t="shared" si="3"/>
        <v>-17163726.904109586</v>
      </c>
      <c r="G19" s="311">
        <f t="shared" si="3"/>
        <v>0</v>
      </c>
    </row>
    <row r="20" spans="1:7" x14ac:dyDescent="0.25">
      <c r="A20" s="533"/>
      <c r="B20" s="492"/>
      <c r="C20" s="312"/>
      <c r="D20" s="312"/>
      <c r="E20" s="312"/>
      <c r="F20" s="312"/>
      <c r="G20" s="314"/>
    </row>
    <row r="21" spans="1:7" ht="13.8" thickBot="1" x14ac:dyDescent="0.3">
      <c r="A21" s="537" t="s">
        <v>542</v>
      </c>
      <c r="B21" s="494">
        <f t="shared" ref="B21:G21" si="4">+B14-B19</f>
        <v>0</v>
      </c>
      <c r="C21" s="494">
        <f t="shared" si="4"/>
        <v>0</v>
      </c>
      <c r="D21" s="494">
        <f t="shared" si="4"/>
        <v>95236261.212059706</v>
      </c>
      <c r="E21" s="494">
        <f t="shared" si="4"/>
        <v>80606710.760432154</v>
      </c>
      <c r="F21" s="494">
        <f t="shared" si="4"/>
        <v>127442634.53645828</v>
      </c>
      <c r="G21" s="496">
        <f t="shared" si="4"/>
        <v>111890562.26751782</v>
      </c>
    </row>
    <row r="22" spans="1:7" ht="13.8" thickTop="1" x14ac:dyDescent="0.25"/>
  </sheetData>
  <pageMargins left="0.25972222222222202" right="0.45972222222222198" top="1.27013888888889" bottom="1" header="0.511811023622047" footer="0.511811023622047"/>
  <pageSetup paperSize="9" fitToHeight="4"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93"/>
  <sheetViews>
    <sheetView topLeftCell="A2" zoomScale="110" zoomScaleNormal="110" workbookViewId="0">
      <selection activeCell="B13" sqref="B13"/>
    </sheetView>
  </sheetViews>
  <sheetFormatPr baseColWidth="10" defaultColWidth="11.33203125" defaultRowHeight="13.2" x14ac:dyDescent="0.25"/>
  <cols>
    <col min="1" max="1" width="54.33203125" customWidth="1"/>
    <col min="2" max="2" width="16.109375" bestFit="1" customWidth="1"/>
    <col min="3" max="3" width="16.109375" customWidth="1"/>
    <col min="4" max="4" width="16.109375" bestFit="1" customWidth="1"/>
    <col min="5" max="5" width="16" customWidth="1"/>
    <col min="6" max="6" width="15.88671875" customWidth="1"/>
    <col min="9" max="9" width="15.6640625" customWidth="1"/>
    <col min="10" max="10" width="10.109375" bestFit="1" customWidth="1"/>
  </cols>
  <sheetData>
    <row r="1" spans="1:5" ht="13.8" thickBot="1" x14ac:dyDescent="0.3">
      <c r="A1" s="281" t="s">
        <v>405</v>
      </c>
      <c r="D1">
        <f>InfoInicial!E1</f>
        <v>11</v>
      </c>
      <c r="E1" s="282"/>
    </row>
    <row r="2" spans="1:5" ht="16.2" thickTop="1" x14ac:dyDescent="0.3">
      <c r="A2" s="428" t="s">
        <v>765</v>
      </c>
      <c r="B2" s="538"/>
      <c r="C2" s="297"/>
      <c r="D2" s="298"/>
    </row>
    <row r="3" spans="1:5" ht="13.8" thickBot="1" x14ac:dyDescent="0.3">
      <c r="A3" s="595" t="s">
        <v>407</v>
      </c>
      <c r="B3" s="596" t="s">
        <v>259</v>
      </c>
      <c r="C3" s="597" t="s">
        <v>92</v>
      </c>
      <c r="D3" s="303" t="s">
        <v>410</v>
      </c>
    </row>
    <row r="4" spans="1:5" ht="13.8" thickTop="1" x14ac:dyDescent="0.25">
      <c r="A4" s="294" t="s">
        <v>766</v>
      </c>
      <c r="B4" s="305"/>
      <c r="C4" s="305"/>
      <c r="D4" s="314"/>
    </row>
    <row r="5" spans="1:5" x14ac:dyDescent="0.25">
      <c r="B5" s="309"/>
      <c r="C5" s="309"/>
      <c r="D5" s="311"/>
    </row>
    <row r="6" spans="1:5" x14ac:dyDescent="0.25">
      <c r="A6" t="s">
        <v>767</v>
      </c>
      <c r="B6" s="309">
        <f>+'E-Inv AF y Am'!B21</f>
        <v>288045648.59719163</v>
      </c>
      <c r="C6" s="309">
        <f>+'E-Inv AF y Am'!C21</f>
        <v>0</v>
      </c>
      <c r="D6" s="311">
        <f>+SUM(B6:C6)</f>
        <v>288045648.59719163</v>
      </c>
    </row>
    <row r="7" spans="1:5" x14ac:dyDescent="0.25">
      <c r="A7" t="s">
        <v>768</v>
      </c>
      <c r="B7" s="309">
        <f>+'E-Inv AF y Am'!B33+'F-Cred'!K21</f>
        <v>21021652.909376003</v>
      </c>
      <c r="C7" s="309">
        <f>+'E-Inv AF y Am'!C33</f>
        <v>-12303766.803539043</v>
      </c>
      <c r="D7" s="311">
        <f>+SUM(B7:C7)</f>
        <v>8717886.1058369596</v>
      </c>
    </row>
    <row r="8" spans="1:5" x14ac:dyDescent="0.25">
      <c r="A8" s="294" t="s">
        <v>769</v>
      </c>
      <c r="B8" s="309">
        <f>+SUM(B6:B7)</f>
        <v>309067301.50656766</v>
      </c>
      <c r="C8" s="309">
        <f>+SUM(C6:C7)</f>
        <v>-12303766.803539043</v>
      </c>
      <c r="D8" s="311">
        <f>+SUM(B8:C8)</f>
        <v>296763534.70302862</v>
      </c>
    </row>
    <row r="9" spans="1:5" x14ac:dyDescent="0.25">
      <c r="A9" s="151" t="s">
        <v>770</v>
      </c>
      <c r="B9" s="309">
        <f>+B8*InfoInicial!$B$3</f>
        <v>64904133.316379204</v>
      </c>
      <c r="C9" s="599">
        <f>+C8*InfoInicial!$B$3</f>
        <v>-2583791.0287431991</v>
      </c>
      <c r="D9" s="311">
        <f>+SUM(B9:C9)</f>
        <v>62320342.287636004</v>
      </c>
    </row>
    <row r="10" spans="1:5" x14ac:dyDescent="0.25">
      <c r="A10" s="294" t="s">
        <v>771</v>
      </c>
      <c r="B10" s="309">
        <f>+B8+B9</f>
        <v>373971434.82294685</v>
      </c>
      <c r="C10" s="309">
        <f>+C8+C9</f>
        <v>-14887557.832282241</v>
      </c>
      <c r="D10" s="311">
        <f>+SUM(B10:C10)</f>
        <v>359083876.9906646</v>
      </c>
    </row>
    <row r="11" spans="1:5" x14ac:dyDescent="0.25">
      <c r="A11" s="294" t="s">
        <v>772</v>
      </c>
      <c r="B11" s="312"/>
      <c r="C11" s="312"/>
      <c r="D11" s="311"/>
    </row>
    <row r="12" spans="1:5" x14ac:dyDescent="0.25">
      <c r="A12" s="151" t="s">
        <v>773</v>
      </c>
      <c r="B12" s="309">
        <f>+'E-InvAT'!B6</f>
        <v>3977625.6000000001</v>
      </c>
      <c r="C12" s="309">
        <f>+'E-InvAT'!C6-'E-InvAT'!B6</f>
        <v>15910502.4</v>
      </c>
      <c r="D12" s="311">
        <f>+SUM(B12:C12)</f>
        <v>19888128</v>
      </c>
    </row>
    <row r="13" spans="1:5" x14ac:dyDescent="0.25">
      <c r="A13" t="s">
        <v>774</v>
      </c>
      <c r="B13" s="309">
        <f>+'E-InvAT'!B7</f>
        <v>0</v>
      </c>
      <c r="C13" s="309">
        <f>+'E-InvAT'!C7</f>
        <v>81732032.876712322</v>
      </c>
      <c r="D13" s="311">
        <f>+SUM(B13:C13)</f>
        <v>81732032.876712322</v>
      </c>
    </row>
    <row r="14" spans="1:5" x14ac:dyDescent="0.25">
      <c r="A14" t="s">
        <v>775</v>
      </c>
      <c r="B14" s="309">
        <f>+'E-InvAT'!B9</f>
        <v>66966200.793538392</v>
      </c>
      <c r="C14" s="309">
        <f>+'E-InvAT'!C9</f>
        <v>90170762.07053636</v>
      </c>
      <c r="D14" s="311">
        <f>+SUM(B14:C14)</f>
        <v>157136962.86407477</v>
      </c>
    </row>
    <row r="15" spans="1:5" x14ac:dyDescent="0.25">
      <c r="A15" s="294" t="s">
        <v>776</v>
      </c>
      <c r="B15" s="309">
        <f>+SUM(B12:B14)</f>
        <v>70943826.393538386</v>
      </c>
      <c r="C15" s="309">
        <f>+SUM(C12:C14)</f>
        <v>187813297.34724867</v>
      </c>
      <c r="D15" s="311">
        <f>+SUM(B15:C15)</f>
        <v>258757123.74078706</v>
      </c>
    </row>
    <row r="16" spans="1:5" x14ac:dyDescent="0.25">
      <c r="A16" t="s">
        <v>463</v>
      </c>
      <c r="B16" s="312"/>
      <c r="C16" s="312"/>
      <c r="D16" s="311"/>
    </row>
    <row r="17" spans="1:5" x14ac:dyDescent="0.25">
      <c r="A17" t="s">
        <v>777</v>
      </c>
      <c r="B17" s="309"/>
      <c r="C17" s="309">
        <f>+'E-InvAT'!C17+'E-InvAT'!C18</f>
        <v>174449.95903521596</v>
      </c>
      <c r="D17" s="311">
        <f>+SUM(B17:C17)</f>
        <v>174449.95903521596</v>
      </c>
    </row>
    <row r="18" spans="1:5" x14ac:dyDescent="0.25">
      <c r="A18" t="s">
        <v>778</v>
      </c>
      <c r="B18" s="309"/>
      <c r="C18" s="309">
        <f>+('E-Inv AF y Am'!D57+'RES CRED'!C25-C17)*30/365</f>
        <v>1432143.4155395699</v>
      </c>
      <c r="D18" s="311">
        <f>+SUM(B18:C18)</f>
        <v>1432143.4155395699</v>
      </c>
    </row>
    <row r="19" spans="1:5" x14ac:dyDescent="0.25">
      <c r="A19" t="s">
        <v>779</v>
      </c>
      <c r="B19" s="309"/>
      <c r="C19" s="309">
        <f>+('F-CRes'!B14/'F-CRes'!B4*'E-InvAT'!C7)</f>
        <v>10585441.995761922</v>
      </c>
      <c r="D19" s="311">
        <f>+SUM(B19:C19)</f>
        <v>10585441.995761922</v>
      </c>
    </row>
    <row r="20" spans="1:5" x14ac:dyDescent="0.25">
      <c r="A20" s="294" t="s">
        <v>780</v>
      </c>
      <c r="B20" s="309">
        <f>+B15-B17-B18-B19</f>
        <v>70943826.393538386</v>
      </c>
      <c r="C20" s="309">
        <f>+C15-C17-C18-C19</f>
        <v>175621261.97691196</v>
      </c>
      <c r="D20" s="309">
        <f>+D15-D17-D18-D19</f>
        <v>246565088.37045035</v>
      </c>
    </row>
    <row r="21" spans="1:5" x14ac:dyDescent="0.25">
      <c r="A21" t="s">
        <v>382</v>
      </c>
      <c r="B21" s="309">
        <f>+'E-InvAT'!B34</f>
        <v>14062902.166643063</v>
      </c>
      <c r="C21" s="599">
        <f>+'E-InvAT'!C34</f>
        <v>21474670.728193574</v>
      </c>
      <c r="D21" s="311">
        <f>+SUM(B21:C21)</f>
        <v>35537572.894836634</v>
      </c>
    </row>
    <row r="22" spans="1:5" x14ac:dyDescent="0.25">
      <c r="A22" s="294" t="s">
        <v>781</v>
      </c>
      <c r="B22" s="309">
        <f>+B15+B21</f>
        <v>85006728.560181454</v>
      </c>
      <c r="C22" s="309">
        <f>+C15+C21</f>
        <v>209287968.07544225</v>
      </c>
      <c r="D22" s="311">
        <f>+SUM(B22:C22)</f>
        <v>294294696.63562369</v>
      </c>
    </row>
    <row r="23" spans="1:5" x14ac:dyDescent="0.25">
      <c r="A23" s="294" t="s">
        <v>782</v>
      </c>
      <c r="B23" s="309">
        <f>+B20+B21</f>
        <v>85006728.560181454</v>
      </c>
      <c r="C23" s="309">
        <f>+C20+C21</f>
        <v>197095932.70510554</v>
      </c>
      <c r="D23" s="311">
        <f>+SUM(B23:C23)</f>
        <v>282102661.26528698</v>
      </c>
    </row>
    <row r="24" spans="1:5" x14ac:dyDescent="0.25">
      <c r="A24" s="294" t="s">
        <v>783</v>
      </c>
      <c r="B24" s="312"/>
      <c r="C24" s="312"/>
      <c r="D24" s="311"/>
    </row>
    <row r="25" spans="1:5" x14ac:dyDescent="0.25">
      <c r="A25" t="s">
        <v>784</v>
      </c>
      <c r="B25" s="309">
        <f>+B10</f>
        <v>373971434.82294685</v>
      </c>
      <c r="C25" s="309">
        <f>+C10</f>
        <v>-14887557.832282241</v>
      </c>
      <c r="D25" s="311">
        <f>+SUM(B25:C25)</f>
        <v>359083876.9906646</v>
      </c>
    </row>
    <row r="26" spans="1:5" x14ac:dyDescent="0.25">
      <c r="A26" t="s">
        <v>785</v>
      </c>
      <c r="B26" s="309">
        <f>+B23</f>
        <v>85006728.560181454</v>
      </c>
      <c r="C26" s="309">
        <f>+C23</f>
        <v>197095932.70510554</v>
      </c>
      <c r="D26" s="311">
        <f>+SUM(B26:C26)</f>
        <v>282102661.26528698</v>
      </c>
    </row>
    <row r="27" spans="1:5" ht="13.8" thickBot="1" x14ac:dyDescent="0.3">
      <c r="A27" s="294" t="s">
        <v>786</v>
      </c>
      <c r="B27" s="309">
        <f>+B25+B26</f>
        <v>458978163.38312829</v>
      </c>
      <c r="C27" s="309">
        <f>+C25+C26</f>
        <v>182208374.8728233</v>
      </c>
      <c r="D27" s="311">
        <f>+SUM(B27:C27)</f>
        <v>641186538.25595164</v>
      </c>
      <c r="E27" s="529"/>
    </row>
    <row r="28" spans="1:5" ht="13.8" thickTop="1" x14ac:dyDescent="0.25">
      <c r="A28" s="294" t="s">
        <v>787</v>
      </c>
      <c r="B28" s="312"/>
      <c r="C28" s="312"/>
      <c r="D28" s="311"/>
      <c r="E28" s="530" t="s">
        <v>788</v>
      </c>
    </row>
    <row r="29" spans="1:5" x14ac:dyDescent="0.25">
      <c r="A29" s="294" t="s">
        <v>789</v>
      </c>
      <c r="B29" s="309">
        <v>0</v>
      </c>
      <c r="C29" s="309">
        <f>+'F-Cred'!D6</f>
        <v>18441550.750573732</v>
      </c>
      <c r="D29" s="311">
        <f>+SUM(B29:C29)</f>
        <v>18441550.750573732</v>
      </c>
      <c r="E29" s="580">
        <f>+D29/$D$32</f>
        <v>2.8761600018514664E-2</v>
      </c>
    </row>
    <row r="30" spans="1:5" x14ac:dyDescent="0.25">
      <c r="A30" s="294" t="s">
        <v>790</v>
      </c>
      <c r="B30" s="309">
        <f>+'F-Cred'!D5</f>
        <v>61538917.440000013</v>
      </c>
      <c r="C30" s="309">
        <v>0</v>
      </c>
      <c r="D30" s="311">
        <f>+SUM(B30:C30)</f>
        <v>61538917.440000013</v>
      </c>
      <c r="E30" s="580">
        <f>+D30/$D$32</f>
        <v>9.597662110528378E-2</v>
      </c>
    </row>
    <row r="31" spans="1:5" x14ac:dyDescent="0.25">
      <c r="A31" s="294" t="s">
        <v>791</v>
      </c>
      <c r="B31" s="309">
        <f>+B27-B30</f>
        <v>397439245.94312829</v>
      </c>
      <c r="C31" s="309">
        <f>+C27-C29</f>
        <v>163766824.12224957</v>
      </c>
      <c r="D31" s="311">
        <f>+SUM(B31:C31)</f>
        <v>561206070.06537783</v>
      </c>
      <c r="E31" s="580">
        <f>+D31/$D$32</f>
        <v>0.87526177887620149</v>
      </c>
    </row>
    <row r="32" spans="1:5" ht="13.8" thickBot="1" x14ac:dyDescent="0.3">
      <c r="A32" s="316" t="s">
        <v>410</v>
      </c>
      <c r="B32" s="317">
        <f>+SUM(B29:B31)</f>
        <v>458978163.38312829</v>
      </c>
      <c r="C32" s="317">
        <f>+SUM(C29:C31)</f>
        <v>182208374.8728233</v>
      </c>
      <c r="D32" s="311">
        <f>+SUM(B32:C32)</f>
        <v>641186538.25595164</v>
      </c>
      <c r="E32" s="369">
        <f>+SUM(E29:E31)</f>
        <v>0.99999999999999989</v>
      </c>
    </row>
    <row r="33" spans="1:6" ht="14.4" thickTop="1" thickBot="1" x14ac:dyDescent="0.3"/>
    <row r="34" spans="1:6" ht="15.6" x14ac:dyDescent="0.3">
      <c r="A34" s="428" t="s">
        <v>792</v>
      </c>
      <c r="B34" s="297"/>
      <c r="C34" s="297"/>
      <c r="D34" s="297"/>
      <c r="E34" s="297"/>
      <c r="F34" s="298"/>
    </row>
    <row r="35" spans="1:6" x14ac:dyDescent="0.25">
      <c r="A35" s="299" t="s">
        <v>407</v>
      </c>
      <c r="B35" s="301" t="s">
        <v>92</v>
      </c>
      <c r="C35" s="301" t="s">
        <v>284</v>
      </c>
      <c r="D35" s="301" t="s">
        <v>285</v>
      </c>
      <c r="E35" s="301" t="s">
        <v>286</v>
      </c>
      <c r="F35" s="303" t="s">
        <v>287</v>
      </c>
    </row>
    <row r="36" spans="1:6" x14ac:dyDescent="0.25">
      <c r="A36" s="333" t="s">
        <v>508</v>
      </c>
      <c r="B36" s="355">
        <f>+'E-Costos'!B148</f>
        <v>486934235.90120071</v>
      </c>
      <c r="C36" s="355">
        <f>+'E-Costos'!C148</f>
        <v>673094655.35842669</v>
      </c>
      <c r="D36" s="355">
        <f>+'E-Costos'!D148</f>
        <v>652569721.6265645</v>
      </c>
      <c r="E36" s="355">
        <f>+'E-Costos'!E148</f>
        <v>673094655.35842669</v>
      </c>
      <c r="F36" s="363">
        <f>+'E-Costos'!F148</f>
        <v>673094655.35842669</v>
      </c>
    </row>
    <row r="37" spans="1:6" x14ac:dyDescent="0.25">
      <c r="A37" s="395" t="s">
        <v>507</v>
      </c>
      <c r="B37" s="355">
        <f>+'E-Costos'!B147</f>
        <v>33220823.975705985</v>
      </c>
      <c r="C37" s="355">
        <f>+'E-Costos'!C147</f>
        <v>36438323.975705989</v>
      </c>
      <c r="D37" s="355">
        <f>+'E-Costos'!D147</f>
        <v>25299923.883200381</v>
      </c>
      <c r="E37" s="355">
        <f>+'E-Costos'!E147</f>
        <v>36438323.975705989</v>
      </c>
      <c r="F37" s="363">
        <f>+'E-Costos'!F147</f>
        <v>36438323.975705989</v>
      </c>
    </row>
    <row r="38" spans="1:6" x14ac:dyDescent="0.25">
      <c r="A38" s="333" t="s">
        <v>510</v>
      </c>
      <c r="B38" s="355">
        <f>+'E-Costos'!B150</f>
        <v>77411.982117200008</v>
      </c>
      <c r="C38" s="355">
        <f>+'E-Costos'!C150</f>
        <v>77411.982117200008</v>
      </c>
      <c r="D38" s="355">
        <f>+'E-Costos'!D150</f>
        <v>69670.783905480013</v>
      </c>
      <c r="E38" s="355">
        <f>+'E-Costos'!E150</f>
        <v>77411.982117200008</v>
      </c>
      <c r="F38" s="363">
        <f>+'E-Costos'!F150</f>
        <v>77411.982117200008</v>
      </c>
    </row>
    <row r="39" spans="1:6" x14ac:dyDescent="0.25">
      <c r="A39" s="395" t="s">
        <v>509</v>
      </c>
      <c r="B39" s="355">
        <f>+'E-Costos'!B149</f>
        <v>21881689.883664556</v>
      </c>
      <c r="C39" s="355">
        <f>+'E-Costos'!C149</f>
        <v>21881689.883664556</v>
      </c>
      <c r="D39" s="355">
        <f>+'E-Costos'!D149</f>
        <v>12107449.85154926</v>
      </c>
      <c r="E39" s="355">
        <f>+'E-Costos'!E149</f>
        <v>21881689.883664556</v>
      </c>
      <c r="F39" s="363">
        <f>+'E-Costos'!F149</f>
        <v>21881689.883664556</v>
      </c>
    </row>
    <row r="40" spans="1:6" x14ac:dyDescent="0.25">
      <c r="A40" s="333" t="s">
        <v>512</v>
      </c>
      <c r="B40" s="355">
        <f>+'E-Costos'!B152</f>
        <v>584636.85130308091</v>
      </c>
      <c r="C40" s="355">
        <f>+'E-Costos'!C152</f>
        <v>584636.85130308091</v>
      </c>
      <c r="D40" s="355">
        <f>+'E-Costos'!D152</f>
        <v>391200.32769809768</v>
      </c>
      <c r="E40" s="355">
        <f>+'E-Costos'!E152</f>
        <v>584636.85130308091</v>
      </c>
      <c r="F40" s="363">
        <f>+'E-Costos'!F152</f>
        <v>584636.85130308091</v>
      </c>
    </row>
    <row r="41" spans="1:6" x14ac:dyDescent="0.25">
      <c r="A41" s="395" t="s">
        <v>511</v>
      </c>
      <c r="B41" s="355">
        <f>+'E-Costos'!B151</f>
        <v>6495965.014478677</v>
      </c>
      <c r="C41" s="355">
        <f>+'E-Costos'!C151</f>
        <v>6495965.014478677</v>
      </c>
      <c r="D41" s="355">
        <f>+'E-Costos'!D151</f>
        <v>4346670.3077566419</v>
      </c>
      <c r="E41" s="355">
        <f>+'E-Costos'!E151</f>
        <v>6495965.014478677</v>
      </c>
      <c r="F41" s="363">
        <f>+'E-Costos'!F151</f>
        <v>6495965.014478677</v>
      </c>
    </row>
    <row r="42" spans="1:6" x14ac:dyDescent="0.25">
      <c r="A42" s="395" t="s">
        <v>793</v>
      </c>
      <c r="B42" s="355">
        <f>+'F-CRes'!B10</f>
        <v>49217046.815001622</v>
      </c>
      <c r="C42" s="355">
        <f>+'F-CRes'!C10</f>
        <v>43447773.305001616</v>
      </c>
      <c r="D42" s="355">
        <f>+'F-CRes'!D10</f>
        <v>35755408.625001617</v>
      </c>
      <c r="E42" s="355">
        <f>+'F-CRes'!E10</f>
        <v>22524541.375401616</v>
      </c>
      <c r="F42" s="363">
        <f>+'F-CRes'!F10</f>
        <v>14832176.695401613</v>
      </c>
    </row>
    <row r="43" spans="1:6" x14ac:dyDescent="0.25">
      <c r="A43" s="333" t="s">
        <v>513</v>
      </c>
      <c r="B43" s="355">
        <f>+'E-Costos'!B106-B36-B38-B40</f>
        <v>284521915.26537901</v>
      </c>
      <c r="C43" s="355">
        <f>+'E-Costos'!C106-C36-C38-C40</f>
        <v>397142495.80815303</v>
      </c>
      <c r="D43" s="355">
        <f>+'E-Costos'!D106-D36-D38-D40</f>
        <v>364323647.26183188</v>
      </c>
      <c r="E43" s="355">
        <f>+'E-Costos'!E106-E36-E38-E40</f>
        <v>397142495.80815303</v>
      </c>
      <c r="F43" s="363">
        <f>+'E-Costos'!F106-F36-F38-F40</f>
        <v>397142495.80815303</v>
      </c>
    </row>
    <row r="44" spans="1:6" x14ac:dyDescent="0.25">
      <c r="A44" s="341" t="s">
        <v>514</v>
      </c>
      <c r="B44" s="342">
        <f>+(B37+B39+B41+B42)/B43</f>
        <v>0.38947975443470179</v>
      </c>
      <c r="C44" s="342">
        <f>+(C37+C39+C41+C42)/C43</f>
        <v>0.2726068182619007</v>
      </c>
      <c r="D44" s="342">
        <f>+(D37+D39+D41+D42)/D43</f>
        <v>0.2127488930516867</v>
      </c>
      <c r="E44" s="342">
        <f>+(E37+E39+E41+E42)/E43</f>
        <v>0.21992237338268195</v>
      </c>
      <c r="F44" s="343">
        <f>+(F37+F39+F41+F42)/F43</f>
        <v>0.20055309217708683</v>
      </c>
    </row>
    <row r="45" spans="1:6" ht="15.6" x14ac:dyDescent="0.3">
      <c r="A45" s="409" t="s">
        <v>794</v>
      </c>
    </row>
    <row r="47" spans="1:6" ht="14.4" thickBot="1" x14ac:dyDescent="0.3">
      <c r="A47" s="410" t="s">
        <v>92</v>
      </c>
      <c r="B47" s="411"/>
      <c r="C47" s="411"/>
      <c r="D47" s="411"/>
      <c r="E47" s="411"/>
      <c r="F47" s="411"/>
    </row>
    <row r="48" spans="1:6" ht="13.8" thickBot="1" x14ac:dyDescent="0.3">
      <c r="A48" s="412" t="s">
        <v>516</v>
      </c>
      <c r="B48" s="413" t="s">
        <v>517</v>
      </c>
      <c r="C48" s="413" t="s">
        <v>244</v>
      </c>
      <c r="D48" s="413" t="s">
        <v>518</v>
      </c>
      <c r="E48" s="413" t="s">
        <v>519</v>
      </c>
      <c r="F48" s="414" t="s">
        <v>520</v>
      </c>
    </row>
    <row r="49" spans="1:7" ht="13.8" thickBot="1" x14ac:dyDescent="0.3">
      <c r="A49" s="415">
        <f>+'E-Costos'!B106</f>
        <v>772118200</v>
      </c>
      <c r="B49" s="416">
        <v>0</v>
      </c>
      <c r="C49" s="417">
        <f>B49*$A$49</f>
        <v>0</v>
      </c>
      <c r="D49" s="418">
        <f>+$B$37+$B$39+$B$41+$B$42</f>
        <v>110815525.68885085</v>
      </c>
      <c r="E49" s="418">
        <f>$E$69*B49</f>
        <v>0</v>
      </c>
      <c r="F49" s="419">
        <f t="shared" ref="F49" si="0">D49+E49</f>
        <v>110815525.68885085</v>
      </c>
      <c r="G49" s="23"/>
    </row>
    <row r="50" spans="1:7" x14ac:dyDescent="0.25">
      <c r="A50" s="411"/>
      <c r="B50" s="420">
        <v>0.05</v>
      </c>
      <c r="C50" s="421">
        <f t="shared" ref="C50:C69" si="1">B50*$A$49</f>
        <v>38605910</v>
      </c>
      <c r="D50" s="422">
        <f t="shared" ref="D50:D69" si="2">+$B$37+$B$39+$B$41+$B$42</f>
        <v>110815525.68885085</v>
      </c>
      <c r="E50" s="422">
        <f t="shared" ref="E50:E68" si="3">$E$69*B50</f>
        <v>24379814.236731052</v>
      </c>
      <c r="F50" s="423">
        <f t="shared" ref="F50:F69" si="4">D50+E50</f>
        <v>135195339.9255819</v>
      </c>
      <c r="G50" s="23"/>
    </row>
    <row r="51" spans="1:7" x14ac:dyDescent="0.25">
      <c r="A51" s="411"/>
      <c r="B51" s="420">
        <v>0.1</v>
      </c>
      <c r="C51" s="421">
        <f t="shared" si="1"/>
        <v>77211820</v>
      </c>
      <c r="D51" s="422">
        <f t="shared" si="2"/>
        <v>110815525.68885085</v>
      </c>
      <c r="E51" s="422">
        <f t="shared" si="3"/>
        <v>48759628.473462105</v>
      </c>
      <c r="F51" s="423">
        <f t="shared" si="4"/>
        <v>159575154.16231295</v>
      </c>
      <c r="G51" s="23"/>
    </row>
    <row r="52" spans="1:7" x14ac:dyDescent="0.25">
      <c r="A52" s="411"/>
      <c r="B52" s="420">
        <v>0.15</v>
      </c>
      <c r="C52" s="421">
        <f t="shared" si="1"/>
        <v>115817730</v>
      </c>
      <c r="D52" s="422">
        <f t="shared" si="2"/>
        <v>110815525.68885085</v>
      </c>
      <c r="E52" s="422">
        <f t="shared" si="3"/>
        <v>73139442.710193142</v>
      </c>
      <c r="F52" s="423">
        <f t="shared" si="4"/>
        <v>183954968.39904398</v>
      </c>
      <c r="G52" s="23"/>
    </row>
    <row r="53" spans="1:7" x14ac:dyDescent="0.25">
      <c r="A53" s="411"/>
      <c r="B53" s="420">
        <v>0.2</v>
      </c>
      <c r="C53" s="421">
        <f t="shared" si="1"/>
        <v>154423640</v>
      </c>
      <c r="D53" s="422">
        <f t="shared" si="2"/>
        <v>110815525.68885085</v>
      </c>
      <c r="E53" s="422">
        <f t="shared" si="3"/>
        <v>97519256.94692421</v>
      </c>
      <c r="F53" s="423">
        <f t="shared" si="4"/>
        <v>208334782.63577506</v>
      </c>
      <c r="G53" s="23"/>
    </row>
    <row r="54" spans="1:7" x14ac:dyDescent="0.25">
      <c r="A54" s="411"/>
      <c r="B54" s="420">
        <v>0.25</v>
      </c>
      <c r="C54" s="421">
        <f t="shared" si="1"/>
        <v>193029550</v>
      </c>
      <c r="D54" s="422">
        <f t="shared" si="2"/>
        <v>110815525.68885085</v>
      </c>
      <c r="E54" s="422">
        <f t="shared" si="3"/>
        <v>121899071.18365525</v>
      </c>
      <c r="F54" s="423">
        <f t="shared" si="4"/>
        <v>232714596.87250608</v>
      </c>
      <c r="G54" s="23"/>
    </row>
    <row r="55" spans="1:7" x14ac:dyDescent="0.25">
      <c r="A55" s="411"/>
      <c r="B55" s="420">
        <v>0.3</v>
      </c>
      <c r="C55" s="421">
        <f t="shared" si="1"/>
        <v>231635460</v>
      </c>
      <c r="D55" s="422">
        <f t="shared" si="2"/>
        <v>110815525.68885085</v>
      </c>
      <c r="E55" s="422">
        <f t="shared" si="3"/>
        <v>146278885.42038628</v>
      </c>
      <c r="F55" s="423">
        <f t="shared" si="4"/>
        <v>257094411.10923713</v>
      </c>
      <c r="G55" s="23"/>
    </row>
    <row r="56" spans="1:7" x14ac:dyDescent="0.25">
      <c r="A56" s="411"/>
      <c r="B56" s="420">
        <v>0.35</v>
      </c>
      <c r="C56" s="421">
        <f t="shared" si="1"/>
        <v>270241370</v>
      </c>
      <c r="D56" s="422">
        <f t="shared" si="2"/>
        <v>110815525.68885085</v>
      </c>
      <c r="E56" s="422">
        <f t="shared" si="3"/>
        <v>170658699.65711734</v>
      </c>
      <c r="F56" s="423">
        <f t="shared" si="4"/>
        <v>281474225.34596819</v>
      </c>
      <c r="G56" s="23"/>
    </row>
    <row r="57" spans="1:7" x14ac:dyDescent="0.25">
      <c r="A57" s="411"/>
      <c r="B57" s="420">
        <v>0.4</v>
      </c>
      <c r="C57" s="421">
        <f t="shared" si="1"/>
        <v>308847280</v>
      </c>
      <c r="D57" s="422">
        <f t="shared" si="2"/>
        <v>110815525.68885085</v>
      </c>
      <c r="E57" s="422">
        <f t="shared" si="3"/>
        <v>195038513.89384842</v>
      </c>
      <c r="F57" s="423">
        <f t="shared" si="4"/>
        <v>305854039.5826993</v>
      </c>
      <c r="G57" s="23"/>
    </row>
    <row r="58" spans="1:7" x14ac:dyDescent="0.25">
      <c r="A58" s="411"/>
      <c r="B58" s="420">
        <v>0.45</v>
      </c>
      <c r="C58" s="421">
        <f t="shared" si="1"/>
        <v>347453190</v>
      </c>
      <c r="D58" s="422">
        <f t="shared" si="2"/>
        <v>110815525.68885085</v>
      </c>
      <c r="E58" s="422">
        <f t="shared" si="3"/>
        <v>219418328.13057944</v>
      </c>
      <c r="F58" s="423">
        <f t="shared" si="4"/>
        <v>330233853.81943029</v>
      </c>
      <c r="G58" s="23"/>
    </row>
    <row r="59" spans="1:7" x14ac:dyDescent="0.25">
      <c r="A59" s="411"/>
      <c r="B59" s="420">
        <v>0.5</v>
      </c>
      <c r="C59" s="421">
        <f t="shared" si="1"/>
        <v>386059100</v>
      </c>
      <c r="D59" s="422">
        <f t="shared" si="2"/>
        <v>110815525.68885085</v>
      </c>
      <c r="E59" s="422">
        <f t="shared" si="3"/>
        <v>243798142.36731049</v>
      </c>
      <c r="F59" s="423">
        <f t="shared" si="4"/>
        <v>354613668.05616134</v>
      </c>
      <c r="G59" s="23"/>
    </row>
    <row r="60" spans="1:7" x14ac:dyDescent="0.25">
      <c r="A60" s="411"/>
      <c r="B60" s="420">
        <v>0.55000000000000004</v>
      </c>
      <c r="C60" s="421">
        <f t="shared" si="1"/>
        <v>424665010.00000006</v>
      </c>
      <c r="D60" s="422">
        <f t="shared" si="2"/>
        <v>110815525.68885085</v>
      </c>
      <c r="E60" s="422">
        <f t="shared" si="3"/>
        <v>268177956.60404158</v>
      </c>
      <c r="F60" s="423">
        <f t="shared" si="4"/>
        <v>378993482.29289246</v>
      </c>
      <c r="G60" s="23"/>
    </row>
    <row r="61" spans="1:7" x14ac:dyDescent="0.25">
      <c r="A61" s="411"/>
      <c r="B61" s="420">
        <v>0.6</v>
      </c>
      <c r="C61" s="421">
        <f t="shared" si="1"/>
        <v>463270920</v>
      </c>
      <c r="D61" s="422">
        <f t="shared" si="2"/>
        <v>110815525.68885085</v>
      </c>
      <c r="E61" s="422">
        <f t="shared" si="3"/>
        <v>292557770.84077257</v>
      </c>
      <c r="F61" s="423">
        <f t="shared" si="4"/>
        <v>403373296.52962339</v>
      </c>
      <c r="G61" s="23"/>
    </row>
    <row r="62" spans="1:7" x14ac:dyDescent="0.25">
      <c r="A62" s="411"/>
      <c r="B62" s="420">
        <v>0.65</v>
      </c>
      <c r="C62" s="421">
        <f t="shared" si="1"/>
        <v>501876830</v>
      </c>
      <c r="D62" s="422">
        <f t="shared" si="2"/>
        <v>110815525.68885085</v>
      </c>
      <c r="E62" s="422">
        <f t="shared" si="3"/>
        <v>316937585.07750368</v>
      </c>
      <c r="F62" s="423">
        <f t="shared" si="4"/>
        <v>427753110.76635456</v>
      </c>
      <c r="G62" s="23"/>
    </row>
    <row r="63" spans="1:7" x14ac:dyDescent="0.25">
      <c r="A63" s="411"/>
      <c r="B63" s="420">
        <v>0.7</v>
      </c>
      <c r="C63" s="421">
        <f t="shared" si="1"/>
        <v>540482740</v>
      </c>
      <c r="D63" s="422">
        <f t="shared" si="2"/>
        <v>110815525.68885085</v>
      </c>
      <c r="E63" s="422">
        <f t="shared" si="3"/>
        <v>341317399.31423467</v>
      </c>
      <c r="F63" s="423">
        <f t="shared" si="4"/>
        <v>452132925.00308549</v>
      </c>
      <c r="G63" s="23"/>
    </row>
    <row r="64" spans="1:7" x14ac:dyDescent="0.25">
      <c r="A64" s="411"/>
      <c r="B64" s="420">
        <v>0.75</v>
      </c>
      <c r="C64" s="421">
        <f t="shared" si="1"/>
        <v>579088650</v>
      </c>
      <c r="D64" s="422">
        <f t="shared" si="2"/>
        <v>110815525.68885085</v>
      </c>
      <c r="E64" s="422">
        <f t="shared" si="3"/>
        <v>365697213.55096573</v>
      </c>
      <c r="F64" s="423">
        <f t="shared" si="4"/>
        <v>476512739.23981655</v>
      </c>
      <c r="G64" s="23"/>
    </row>
    <row r="65" spans="1:7" x14ac:dyDescent="0.25">
      <c r="A65" s="411"/>
      <c r="B65" s="420">
        <v>0.8</v>
      </c>
      <c r="C65" s="421">
        <f t="shared" si="1"/>
        <v>617694560</v>
      </c>
      <c r="D65" s="422">
        <f t="shared" si="2"/>
        <v>110815525.68885085</v>
      </c>
      <c r="E65" s="422">
        <f t="shared" si="3"/>
        <v>390077027.78769684</v>
      </c>
      <c r="F65" s="423">
        <f t="shared" si="4"/>
        <v>500892553.47654772</v>
      </c>
      <c r="G65" s="23"/>
    </row>
    <row r="66" spans="1:7" x14ac:dyDescent="0.25">
      <c r="A66" s="411"/>
      <c r="B66" s="420">
        <v>0.85</v>
      </c>
      <c r="C66" s="421">
        <f t="shared" si="1"/>
        <v>656300470</v>
      </c>
      <c r="D66" s="422">
        <f t="shared" si="2"/>
        <v>110815525.68885085</v>
      </c>
      <c r="E66" s="422">
        <f t="shared" si="3"/>
        <v>414456842.02442783</v>
      </c>
      <c r="F66" s="423">
        <f t="shared" si="4"/>
        <v>525272367.71327865</v>
      </c>
      <c r="G66" s="23"/>
    </row>
    <row r="67" spans="1:7" x14ac:dyDescent="0.25">
      <c r="A67" s="411"/>
      <c r="B67" s="420">
        <v>0.9</v>
      </c>
      <c r="C67" s="421">
        <f t="shared" si="1"/>
        <v>694906380</v>
      </c>
      <c r="D67" s="422">
        <f t="shared" si="2"/>
        <v>110815525.68885085</v>
      </c>
      <c r="E67" s="422">
        <f t="shared" si="3"/>
        <v>438836656.26115888</v>
      </c>
      <c r="F67" s="423">
        <f t="shared" si="4"/>
        <v>549652181.9500097</v>
      </c>
      <c r="G67" s="23"/>
    </row>
    <row r="68" spans="1:7" x14ac:dyDescent="0.25">
      <c r="A68" s="411"/>
      <c r="B68" s="420">
        <v>0.95</v>
      </c>
      <c r="C68" s="421">
        <f t="shared" si="1"/>
        <v>733512290</v>
      </c>
      <c r="D68" s="422">
        <f t="shared" si="2"/>
        <v>110815525.68885085</v>
      </c>
      <c r="E68" s="422">
        <f t="shared" si="3"/>
        <v>463216470.49788994</v>
      </c>
      <c r="F68" s="423">
        <f t="shared" si="4"/>
        <v>574031996.18674076</v>
      </c>
      <c r="G68" s="23"/>
    </row>
    <row r="69" spans="1:7" ht="13.8" thickBot="1" x14ac:dyDescent="0.3">
      <c r="A69" s="411"/>
      <c r="B69" s="424">
        <v>1</v>
      </c>
      <c r="C69" s="425">
        <f t="shared" si="1"/>
        <v>772118200</v>
      </c>
      <c r="D69" s="426">
        <f t="shared" si="2"/>
        <v>110815525.68885085</v>
      </c>
      <c r="E69" s="426">
        <f>+B36+B38+B40</f>
        <v>487596284.73462099</v>
      </c>
      <c r="F69" s="427">
        <f t="shared" si="4"/>
        <v>598411810.42347181</v>
      </c>
      <c r="G69" s="23"/>
    </row>
    <row r="71" spans="1:7" ht="14.4" thickBot="1" x14ac:dyDescent="0.3">
      <c r="A71" s="410" t="s">
        <v>287</v>
      </c>
      <c r="B71" s="411"/>
      <c r="C71" s="411"/>
      <c r="D71" s="411"/>
      <c r="E71" s="411"/>
      <c r="F71" s="411"/>
    </row>
    <row r="72" spans="1:7" ht="13.8" thickBot="1" x14ac:dyDescent="0.3">
      <c r="A72" s="412" t="s">
        <v>516</v>
      </c>
      <c r="B72" s="413" t="s">
        <v>517</v>
      </c>
      <c r="C72" s="413" t="s">
        <v>244</v>
      </c>
      <c r="D72" s="413" t="s">
        <v>518</v>
      </c>
      <c r="E72" s="413" t="s">
        <v>519</v>
      </c>
      <c r="F72" s="414" t="s">
        <v>520</v>
      </c>
    </row>
    <row r="73" spans="1:7" ht="13.8" thickBot="1" x14ac:dyDescent="0.3">
      <c r="A73" s="415">
        <f>+'E-Costos'!F106</f>
        <v>1070899200</v>
      </c>
      <c r="B73" s="416">
        <v>0</v>
      </c>
      <c r="C73" s="417">
        <f>B73*$A$73</f>
        <v>0</v>
      </c>
      <c r="D73" s="418">
        <f>+$F$37+$F$39+$F$41+$F$42</f>
        <v>79648155.569250837</v>
      </c>
      <c r="E73" s="418">
        <f>$E$93*B73</f>
        <v>0</v>
      </c>
      <c r="F73" s="419">
        <f t="shared" ref="F73:F93" si="5">D73+E73</f>
        <v>79648155.569250837</v>
      </c>
    </row>
    <row r="74" spans="1:7" x14ac:dyDescent="0.25">
      <c r="A74" s="411"/>
      <c r="B74" s="420">
        <v>0.05</v>
      </c>
      <c r="C74" s="421">
        <f t="shared" ref="C74:C93" si="6">B74*$A$73</f>
        <v>53544960</v>
      </c>
      <c r="D74" s="422">
        <f t="shared" ref="D74:D93" si="7">+$F$37+$F$39+$F$41+$F$42</f>
        <v>79648155.569250837</v>
      </c>
      <c r="E74" s="422">
        <f t="shared" ref="E74:E92" si="8">$E$93*B74</f>
        <v>33687835.20959235</v>
      </c>
      <c r="F74" s="423">
        <f t="shared" si="5"/>
        <v>113335990.77884319</v>
      </c>
    </row>
    <row r="75" spans="1:7" x14ac:dyDescent="0.25">
      <c r="A75" s="411"/>
      <c r="B75" s="420">
        <v>0.1</v>
      </c>
      <c r="C75" s="421">
        <f t="shared" si="6"/>
        <v>107089920</v>
      </c>
      <c r="D75" s="422">
        <f t="shared" si="7"/>
        <v>79648155.569250837</v>
      </c>
      <c r="E75" s="422">
        <f t="shared" si="8"/>
        <v>67375670.4191847</v>
      </c>
      <c r="F75" s="423">
        <f t="shared" si="5"/>
        <v>147023825.98843554</v>
      </c>
    </row>
    <row r="76" spans="1:7" x14ac:dyDescent="0.25">
      <c r="A76" s="411"/>
      <c r="B76" s="420">
        <v>0.15</v>
      </c>
      <c r="C76" s="421">
        <f t="shared" si="6"/>
        <v>160634880</v>
      </c>
      <c r="D76" s="422">
        <f t="shared" si="7"/>
        <v>79648155.569250837</v>
      </c>
      <c r="E76" s="422">
        <f t="shared" si="8"/>
        <v>101063505.62877704</v>
      </c>
      <c r="F76" s="423">
        <f t="shared" si="5"/>
        <v>180711661.19802788</v>
      </c>
    </row>
    <row r="77" spans="1:7" x14ac:dyDescent="0.25">
      <c r="A77" s="411"/>
      <c r="B77" s="420">
        <v>0.2</v>
      </c>
      <c r="C77" s="421">
        <f t="shared" si="6"/>
        <v>214179840</v>
      </c>
      <c r="D77" s="422">
        <f t="shared" si="7"/>
        <v>79648155.569250837</v>
      </c>
      <c r="E77" s="422">
        <f t="shared" si="8"/>
        <v>134751340.8383694</v>
      </c>
      <c r="F77" s="423">
        <f t="shared" si="5"/>
        <v>214399496.40762025</v>
      </c>
    </row>
    <row r="78" spans="1:7" x14ac:dyDescent="0.25">
      <c r="A78" s="411"/>
      <c r="B78" s="420">
        <v>0.25</v>
      </c>
      <c r="C78" s="421">
        <f t="shared" si="6"/>
        <v>267724800</v>
      </c>
      <c r="D78" s="422">
        <f t="shared" si="7"/>
        <v>79648155.569250837</v>
      </c>
      <c r="E78" s="422">
        <f t="shared" si="8"/>
        <v>168439176.04796174</v>
      </c>
      <c r="F78" s="423">
        <f t="shared" si="5"/>
        <v>248087331.61721259</v>
      </c>
    </row>
    <row r="79" spans="1:7" x14ac:dyDescent="0.25">
      <c r="A79" s="411"/>
      <c r="B79" s="420">
        <v>0.3</v>
      </c>
      <c r="C79" s="421">
        <f t="shared" si="6"/>
        <v>321269760</v>
      </c>
      <c r="D79" s="422">
        <f t="shared" si="7"/>
        <v>79648155.569250837</v>
      </c>
      <c r="E79" s="422">
        <f t="shared" si="8"/>
        <v>202127011.25755408</v>
      </c>
      <c r="F79" s="423">
        <f t="shared" si="5"/>
        <v>281775166.82680494</v>
      </c>
    </row>
    <row r="80" spans="1:7" x14ac:dyDescent="0.25">
      <c r="A80" s="411"/>
      <c r="B80" s="420">
        <v>0.35</v>
      </c>
      <c r="C80" s="421">
        <f t="shared" si="6"/>
        <v>374814720</v>
      </c>
      <c r="D80" s="422">
        <f t="shared" si="7"/>
        <v>79648155.569250837</v>
      </c>
      <c r="E80" s="422">
        <f t="shared" si="8"/>
        <v>235814846.46714643</v>
      </c>
      <c r="F80" s="423">
        <f t="shared" si="5"/>
        <v>315463002.03639728</v>
      </c>
    </row>
    <row r="81" spans="1:6" x14ac:dyDescent="0.25">
      <c r="A81" s="411"/>
      <c r="B81" s="420">
        <v>0.4</v>
      </c>
      <c r="C81" s="421">
        <f t="shared" si="6"/>
        <v>428359680</v>
      </c>
      <c r="D81" s="422">
        <f t="shared" si="7"/>
        <v>79648155.569250837</v>
      </c>
      <c r="E81" s="422">
        <f t="shared" si="8"/>
        <v>269502681.6767388</v>
      </c>
      <c r="F81" s="423">
        <f t="shared" si="5"/>
        <v>349150837.24598962</v>
      </c>
    </row>
    <row r="82" spans="1:6" x14ac:dyDescent="0.25">
      <c r="A82" s="411"/>
      <c r="B82" s="420">
        <v>0.45</v>
      </c>
      <c r="C82" s="421">
        <f t="shared" si="6"/>
        <v>481904640</v>
      </c>
      <c r="D82" s="422">
        <f t="shared" si="7"/>
        <v>79648155.569250837</v>
      </c>
      <c r="E82" s="422">
        <f t="shared" si="8"/>
        <v>303190516.88633114</v>
      </c>
      <c r="F82" s="423">
        <f t="shared" si="5"/>
        <v>382838672.45558196</v>
      </c>
    </row>
    <row r="83" spans="1:6" x14ac:dyDescent="0.25">
      <c r="A83" s="411"/>
      <c r="B83" s="420">
        <v>0.5</v>
      </c>
      <c r="C83" s="421">
        <f t="shared" si="6"/>
        <v>535449600</v>
      </c>
      <c r="D83" s="422">
        <f t="shared" si="7"/>
        <v>79648155.569250837</v>
      </c>
      <c r="E83" s="422">
        <f t="shared" si="8"/>
        <v>336878352.09592348</v>
      </c>
      <c r="F83" s="423">
        <f t="shared" si="5"/>
        <v>416526507.66517431</v>
      </c>
    </row>
    <row r="84" spans="1:6" x14ac:dyDescent="0.25">
      <c r="A84" s="411"/>
      <c r="B84" s="420">
        <v>0.55000000000000004</v>
      </c>
      <c r="C84" s="421">
        <f t="shared" si="6"/>
        <v>588994560</v>
      </c>
      <c r="D84" s="422">
        <f t="shared" si="7"/>
        <v>79648155.569250837</v>
      </c>
      <c r="E84" s="422">
        <f t="shared" si="8"/>
        <v>370566187.30551589</v>
      </c>
      <c r="F84" s="423">
        <f t="shared" si="5"/>
        <v>450214342.87476671</v>
      </c>
    </row>
    <row r="85" spans="1:6" x14ac:dyDescent="0.25">
      <c r="A85" s="411"/>
      <c r="B85" s="420">
        <v>0.6</v>
      </c>
      <c r="C85" s="421">
        <f t="shared" si="6"/>
        <v>642539520</v>
      </c>
      <c r="D85" s="422">
        <f t="shared" si="7"/>
        <v>79648155.569250837</v>
      </c>
      <c r="E85" s="422">
        <f t="shared" si="8"/>
        <v>404254022.51510817</v>
      </c>
      <c r="F85" s="423">
        <f t="shared" si="5"/>
        <v>483902178.08435899</v>
      </c>
    </row>
    <row r="86" spans="1:6" x14ac:dyDescent="0.25">
      <c r="A86" s="411"/>
      <c r="B86" s="420">
        <v>0.65</v>
      </c>
      <c r="C86" s="421">
        <f t="shared" si="6"/>
        <v>696084480</v>
      </c>
      <c r="D86" s="422">
        <f t="shared" si="7"/>
        <v>79648155.569250837</v>
      </c>
      <c r="E86" s="422">
        <f t="shared" si="8"/>
        <v>437941857.72470057</v>
      </c>
      <c r="F86" s="423">
        <f t="shared" si="5"/>
        <v>517590013.29395139</v>
      </c>
    </row>
    <row r="87" spans="1:6" x14ac:dyDescent="0.25">
      <c r="A87" s="411"/>
      <c r="B87" s="420">
        <v>0.7</v>
      </c>
      <c r="C87" s="421">
        <f t="shared" si="6"/>
        <v>749629440</v>
      </c>
      <c r="D87" s="422">
        <f t="shared" si="7"/>
        <v>79648155.569250837</v>
      </c>
      <c r="E87" s="422">
        <f t="shared" si="8"/>
        <v>471629692.93429285</v>
      </c>
      <c r="F87" s="423">
        <f t="shared" si="5"/>
        <v>551277848.50354373</v>
      </c>
    </row>
    <row r="88" spans="1:6" x14ac:dyDescent="0.25">
      <c r="A88" s="411"/>
      <c r="B88" s="420">
        <v>0.75</v>
      </c>
      <c r="C88" s="421">
        <f t="shared" si="6"/>
        <v>803174400</v>
      </c>
      <c r="D88" s="422">
        <f t="shared" si="7"/>
        <v>79648155.569250837</v>
      </c>
      <c r="E88" s="422">
        <f t="shared" si="8"/>
        <v>505317528.14388525</v>
      </c>
      <c r="F88" s="423">
        <f t="shared" si="5"/>
        <v>584965683.71313608</v>
      </c>
    </row>
    <row r="89" spans="1:6" x14ac:dyDescent="0.25">
      <c r="A89" s="411"/>
      <c r="B89" s="420">
        <v>0.8</v>
      </c>
      <c r="C89" s="421">
        <f t="shared" si="6"/>
        <v>856719360</v>
      </c>
      <c r="D89" s="422">
        <f t="shared" si="7"/>
        <v>79648155.569250837</v>
      </c>
      <c r="E89" s="422">
        <f t="shared" si="8"/>
        <v>539005363.3534776</v>
      </c>
      <c r="F89" s="423">
        <f t="shared" si="5"/>
        <v>618653518.92272842</v>
      </c>
    </row>
    <row r="90" spans="1:6" x14ac:dyDescent="0.25">
      <c r="A90" s="411"/>
      <c r="B90" s="420">
        <v>0.85</v>
      </c>
      <c r="C90" s="421">
        <f t="shared" si="6"/>
        <v>910264320</v>
      </c>
      <c r="D90" s="422">
        <f t="shared" si="7"/>
        <v>79648155.569250837</v>
      </c>
      <c r="E90" s="422">
        <f t="shared" si="8"/>
        <v>572693198.56306994</v>
      </c>
      <c r="F90" s="423">
        <f t="shared" si="5"/>
        <v>652341354.13232076</v>
      </c>
    </row>
    <row r="91" spans="1:6" x14ac:dyDescent="0.25">
      <c r="A91" s="411"/>
      <c r="B91" s="420">
        <v>0.9</v>
      </c>
      <c r="C91" s="421">
        <f t="shared" si="6"/>
        <v>963809280</v>
      </c>
      <c r="D91" s="422">
        <f t="shared" si="7"/>
        <v>79648155.569250837</v>
      </c>
      <c r="E91" s="422">
        <f t="shared" si="8"/>
        <v>606381033.77266228</v>
      </c>
      <c r="F91" s="423">
        <f t="shared" si="5"/>
        <v>686029189.3419131</v>
      </c>
    </row>
    <row r="92" spans="1:6" x14ac:dyDescent="0.25">
      <c r="A92" s="411"/>
      <c r="B92" s="420">
        <v>0.95</v>
      </c>
      <c r="C92" s="421">
        <f t="shared" si="6"/>
        <v>1017354240</v>
      </c>
      <c r="D92" s="422">
        <f t="shared" si="7"/>
        <v>79648155.569250837</v>
      </c>
      <c r="E92" s="422">
        <f t="shared" si="8"/>
        <v>640068868.98225462</v>
      </c>
      <c r="F92" s="423">
        <f t="shared" si="5"/>
        <v>719717024.55150545</v>
      </c>
    </row>
    <row r="93" spans="1:6" ht="13.8" thickBot="1" x14ac:dyDescent="0.3">
      <c r="A93" s="411"/>
      <c r="B93" s="424">
        <v>1</v>
      </c>
      <c r="C93" s="425">
        <f t="shared" si="6"/>
        <v>1070899200</v>
      </c>
      <c r="D93" s="426">
        <f t="shared" si="7"/>
        <v>79648155.569250837</v>
      </c>
      <c r="E93" s="426">
        <f>+F36+F38+F40</f>
        <v>673756704.19184697</v>
      </c>
      <c r="F93" s="427">
        <f t="shared" si="5"/>
        <v>753404859.76109779</v>
      </c>
    </row>
  </sheetData>
  <pageMargins left="0.25972222222222202" right="0.45972222222222198" top="0.7" bottom="1" header="0.511811023622047" footer="0.511811023622047"/>
  <pageSetup paperSize="9" fitToHeight="4" orientation="landscape"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9"/>
  <sheetViews>
    <sheetView zoomScaleNormal="100" workbookViewId="0">
      <selection activeCell="D36" sqref="D36"/>
    </sheetView>
  </sheetViews>
  <sheetFormatPr baseColWidth="10" defaultColWidth="11.33203125" defaultRowHeight="13.2" x14ac:dyDescent="0.25"/>
  <cols>
    <col min="1" max="1" width="35.6640625" customWidth="1"/>
    <col min="2" max="2" width="16.109375" bestFit="1" customWidth="1"/>
    <col min="3" max="8" width="17.6640625" bestFit="1" customWidth="1"/>
    <col min="9" max="9" width="17.33203125" customWidth="1"/>
  </cols>
  <sheetData>
    <row r="1" spans="1:8" x14ac:dyDescent="0.25">
      <c r="A1" s="281" t="s">
        <v>405</v>
      </c>
      <c r="E1" s="282">
        <f>InfoInicial!E1</f>
        <v>11</v>
      </c>
    </row>
    <row r="3" spans="1:8" ht="15.6" x14ac:dyDescent="0.3">
      <c r="A3" s="502" t="s">
        <v>795</v>
      </c>
      <c r="B3" s="503"/>
      <c r="C3" s="503"/>
      <c r="D3" s="503"/>
      <c r="E3" s="503"/>
      <c r="F3" s="503"/>
      <c r="G3" s="538"/>
      <c r="H3" s="504"/>
    </row>
    <row r="4" spans="1:8" x14ac:dyDescent="0.25">
      <c r="A4" s="354"/>
      <c r="B4" s="318" t="s">
        <v>259</v>
      </c>
      <c r="C4" s="318" t="s">
        <v>92</v>
      </c>
      <c r="D4" s="318" t="s">
        <v>284</v>
      </c>
      <c r="E4" s="318" t="s">
        <v>285</v>
      </c>
      <c r="F4" s="318" t="s">
        <v>286</v>
      </c>
      <c r="G4" s="539" t="s">
        <v>287</v>
      </c>
      <c r="H4" s="319" t="s">
        <v>410</v>
      </c>
    </row>
    <row r="5" spans="1:8" x14ac:dyDescent="0.25">
      <c r="A5" s="294" t="s">
        <v>796</v>
      </c>
      <c r="B5" s="389">
        <f t="shared" ref="B5:G5" si="0">+SUM(B6:B11)</f>
        <v>458978163.38312829</v>
      </c>
      <c r="C5" s="389">
        <f t="shared" si="0"/>
        <v>1039946608.7441069</v>
      </c>
      <c r="D5" s="389">
        <f t="shared" si="0"/>
        <v>1333431171.0577493</v>
      </c>
      <c r="E5" s="389">
        <f t="shared" si="0"/>
        <v>1458248167.9958005</v>
      </c>
      <c r="F5" s="389">
        <f t="shared" si="0"/>
        <v>1555597175.5471659</v>
      </c>
      <c r="G5" s="389">
        <f t="shared" si="0"/>
        <v>1821664579.870564</v>
      </c>
      <c r="H5" s="390">
        <f t="shared" ref="H5:H22" si="1">+SUM(B5:G5)</f>
        <v>7667865866.5985146</v>
      </c>
    </row>
    <row r="6" spans="1:8" x14ac:dyDescent="0.25">
      <c r="A6" t="s">
        <v>797</v>
      </c>
      <c r="B6" s="309"/>
      <c r="C6" s="309">
        <v>0</v>
      </c>
      <c r="D6" s="309">
        <f>+C27</f>
        <v>250300807.86391136</v>
      </c>
      <c r="E6" s="309">
        <f>+D27</f>
        <v>423730201.09169096</v>
      </c>
      <c r="F6" s="309">
        <f>+E27</f>
        <v>501861702.45127529</v>
      </c>
      <c r="G6" s="309">
        <f>+F27</f>
        <v>750765379.8705641</v>
      </c>
      <c r="H6" s="390">
        <f t="shared" si="1"/>
        <v>1926658091.2774415</v>
      </c>
    </row>
    <row r="7" spans="1:8" x14ac:dyDescent="0.25">
      <c r="A7" t="s">
        <v>798</v>
      </c>
      <c r="B7" s="541">
        <f>+'F-2 Estructura'!B31</f>
        <v>397439245.94312829</v>
      </c>
      <c r="C7" s="541">
        <f>+'F-2 Estructura'!C31</f>
        <v>163766824.12224957</v>
      </c>
      <c r="D7" s="541"/>
      <c r="E7" s="541"/>
      <c r="F7" s="541"/>
      <c r="G7" s="542"/>
      <c r="H7" s="390">
        <f t="shared" si="1"/>
        <v>561206070.06537783</v>
      </c>
    </row>
    <row r="8" spans="1:8" x14ac:dyDescent="0.25">
      <c r="A8" t="s">
        <v>799</v>
      </c>
      <c r="B8" s="309"/>
      <c r="C8" s="309">
        <f>+'F-2 Estructura'!C29</f>
        <v>18441550.750573732</v>
      </c>
      <c r="D8" s="309"/>
      <c r="E8" s="309"/>
      <c r="F8" s="309"/>
      <c r="G8" s="310"/>
      <c r="H8" s="390">
        <f t="shared" si="1"/>
        <v>18441550.750573732</v>
      </c>
    </row>
    <row r="9" spans="1:8" x14ac:dyDescent="0.25">
      <c r="A9" t="s">
        <v>800</v>
      </c>
      <c r="B9" s="541">
        <f>+'F-2 Estructura'!B30</f>
        <v>61538917.440000013</v>
      </c>
      <c r="C9" s="541"/>
      <c r="D9" s="541"/>
      <c r="E9" s="541"/>
      <c r="F9" s="541"/>
      <c r="G9" s="542"/>
      <c r="H9" s="390">
        <f t="shared" si="1"/>
        <v>61538917.440000013</v>
      </c>
    </row>
    <row r="10" spans="1:8" x14ac:dyDescent="0.25">
      <c r="A10" t="s">
        <v>801</v>
      </c>
      <c r="B10" s="309">
        <v>0</v>
      </c>
      <c r="C10" s="309">
        <f>+'F-CRes'!B4</f>
        <v>772118200</v>
      </c>
      <c r="D10" s="309">
        <f>+'F-CRes'!C4</f>
        <v>1070899200</v>
      </c>
      <c r="E10" s="309">
        <f>+'F-CRes'!D4</f>
        <v>1017354240</v>
      </c>
      <c r="F10" s="309">
        <f>+'F-CRes'!E4</f>
        <v>1070899200</v>
      </c>
      <c r="G10" s="309">
        <f>+'F-CRes'!F4</f>
        <v>1070899200</v>
      </c>
      <c r="H10" s="390">
        <f t="shared" si="1"/>
        <v>5002170040</v>
      </c>
    </row>
    <row r="11" spans="1:8" x14ac:dyDescent="0.25">
      <c r="A11" t="s">
        <v>802</v>
      </c>
      <c r="B11" s="389">
        <v>0</v>
      </c>
      <c r="C11" s="389">
        <f>+'F-IVA'!C19</f>
        <v>85620033.871283635</v>
      </c>
      <c r="D11" s="389">
        <f>+'F-IVA'!D19</f>
        <v>12231163.193837948</v>
      </c>
      <c r="E11" s="389">
        <f>+'F-IVA'!E19</f>
        <v>17163726.904109586</v>
      </c>
      <c r="F11" s="389">
        <f>+'F-IVA'!F19</f>
        <v>-17163726.904109586</v>
      </c>
      <c r="G11" s="389">
        <f>+'F-IVA'!G19</f>
        <v>0</v>
      </c>
      <c r="H11" s="390">
        <f t="shared" si="1"/>
        <v>97851197.065121591</v>
      </c>
    </row>
    <row r="12" spans="1:8" x14ac:dyDescent="0.25">
      <c r="B12" s="309"/>
      <c r="C12" s="309"/>
      <c r="D12" s="309"/>
      <c r="E12" s="309"/>
      <c r="F12" s="309"/>
      <c r="G12" s="310"/>
      <c r="H12" s="390">
        <f t="shared" si="1"/>
        <v>0</v>
      </c>
    </row>
    <row r="13" spans="1:8" x14ac:dyDescent="0.25">
      <c r="A13" s="294" t="s">
        <v>803</v>
      </c>
      <c r="B13" s="309">
        <f t="shared" ref="B13:G13" si="2">+SUM(B14:B22)</f>
        <v>458978163.38312835</v>
      </c>
      <c r="C13" s="309">
        <f t="shared" si="2"/>
        <v>807244662.39496219</v>
      </c>
      <c r="D13" s="309">
        <f t="shared" si="2"/>
        <v>927299831.48082495</v>
      </c>
      <c r="E13" s="309">
        <f t="shared" si="2"/>
        <v>973985327.05929184</v>
      </c>
      <c r="F13" s="309">
        <f t="shared" si="2"/>
        <v>816892154.62176847</v>
      </c>
      <c r="G13" s="309">
        <f t="shared" si="2"/>
        <v>903970290.84719539</v>
      </c>
      <c r="H13" s="390">
        <f t="shared" si="1"/>
        <v>4888370429.7871714</v>
      </c>
    </row>
    <row r="14" spans="1:8" x14ac:dyDescent="0.25">
      <c r="A14" t="s">
        <v>804</v>
      </c>
      <c r="B14" s="541">
        <f>+'F-2 Estructura'!B8</f>
        <v>309067301.50656766</v>
      </c>
      <c r="C14" s="541">
        <f>+'F-2 Estructura'!C8</f>
        <v>-12303766.803539043</v>
      </c>
      <c r="D14" s="541"/>
      <c r="E14" s="541"/>
      <c r="F14" s="541"/>
      <c r="G14" s="542"/>
      <c r="H14" s="390">
        <f t="shared" si="1"/>
        <v>296763534.70302862</v>
      </c>
    </row>
    <row r="15" spans="1:8" x14ac:dyDescent="0.25">
      <c r="A15" t="s">
        <v>724</v>
      </c>
      <c r="B15" s="309">
        <f>+'E-InvAT'!B24</f>
        <v>70943826.393538386</v>
      </c>
      <c r="C15" s="309">
        <f>+'E-InvAT'!C24</f>
        <v>120847096.55371031</v>
      </c>
      <c r="D15" s="309">
        <f>+'E-InvAT'!D24</f>
        <v>-130845.83822709322</v>
      </c>
      <c r="E15" s="309">
        <f>+'E-InvAT'!E24</f>
        <v>81732032.876712322</v>
      </c>
      <c r="F15" s="309">
        <f>+'E-InvAT'!F24</f>
        <v>-81732032.876712322</v>
      </c>
      <c r="G15" s="309">
        <f>+'E-InvAT'!G24</f>
        <v>0</v>
      </c>
      <c r="H15" s="390">
        <f t="shared" si="1"/>
        <v>191660077.1090216</v>
      </c>
    </row>
    <row r="16" spans="1:8" x14ac:dyDescent="0.25">
      <c r="A16" t="s">
        <v>805</v>
      </c>
      <c r="B16" s="309">
        <v>0</v>
      </c>
      <c r="C16" s="309">
        <f>+'F-CRes'!B5+'F-CRes'!B8+'F-CRes'!B9+'F-CRes'!B10</f>
        <v>590299815.02789176</v>
      </c>
      <c r="D16" s="309">
        <f>+'F-CRes'!C5+'F-CRes'!C8+'F-CRes'!C9+'F-CRes'!C10</f>
        <v>782087320.1389147</v>
      </c>
      <c r="E16" s="309">
        <f>+'F-CRes'!D5+'F-CRes'!D8+'F-CRes'!D9+'F-CRes'!D10</f>
        <v>730718963.48812699</v>
      </c>
      <c r="F16" s="309">
        <f>+'F-CRes'!E5+'F-CRes'!E8+'F-CRes'!E9+'F-CRes'!E10</f>
        <v>760906445.53198254</v>
      </c>
      <c r="G16" s="309">
        <f>+'F-CRes'!F5+'F-CRes'!F8+'F-CRes'!F9+'F-CRes'!F10</f>
        <v>753405974.84944618</v>
      </c>
      <c r="H16" s="390">
        <f t="shared" si="1"/>
        <v>3617418519.0363622</v>
      </c>
    </row>
    <row r="17" spans="1:8" x14ac:dyDescent="0.25">
      <c r="A17" t="s">
        <v>806</v>
      </c>
      <c r="B17" s="309">
        <v>0</v>
      </c>
      <c r="C17" s="309">
        <f>+'F-CRes'!B13</f>
        <v>63636434.740237899</v>
      </c>
      <c r="D17" s="309">
        <f>+'F-CRes'!C13</f>
        <v>101084157.95137985</v>
      </c>
      <c r="E17" s="309">
        <f>+'F-CRes'!D13</f>
        <v>100322346.77915561</v>
      </c>
      <c r="F17" s="309">
        <f>+'F-CRes'!E13</f>
        <v>108497464.0638061</v>
      </c>
      <c r="G17" s="309">
        <f>+'F-CRes'!F13</f>
        <v>111122628.80269386</v>
      </c>
      <c r="H17" s="390">
        <f t="shared" si="1"/>
        <v>484663032.3372733</v>
      </c>
    </row>
    <row r="18" spans="1:8" x14ac:dyDescent="0.25">
      <c r="A18" t="s">
        <v>807</v>
      </c>
      <c r="B18" s="541">
        <v>0</v>
      </c>
      <c r="C18" s="541">
        <f>+'F-Cred'!E24</f>
        <v>7692364.6800000016</v>
      </c>
      <c r="D18" s="541">
        <f>+'F-Cred'!E26</f>
        <v>15384729.360000003</v>
      </c>
      <c r="E18" s="541">
        <f>+'F-Cred'!E28</f>
        <v>15384729.360000003</v>
      </c>
      <c r="F18" s="541">
        <f>+'F-Cred'!E30</f>
        <v>15384729.360000003</v>
      </c>
      <c r="G18" s="542">
        <f>+'F-Cred'!E32</f>
        <v>7692364.6800000016</v>
      </c>
      <c r="H18" s="390">
        <f t="shared" si="1"/>
        <v>61538917.440000005</v>
      </c>
    </row>
    <row r="19" spans="1:8" x14ac:dyDescent="0.25">
      <c r="A19" t="s">
        <v>808</v>
      </c>
      <c r="B19" s="309"/>
      <c r="C19" s="309">
        <f>+'F-CRes'!B12</f>
        <v>18181838.49721083</v>
      </c>
      <c r="D19" s="309">
        <f>+'F-CRes'!C12</f>
        <v>28881187.98610853</v>
      </c>
      <c r="E19" s="309">
        <f>+'F-CRes'!D12</f>
        <v>28663527.651187319</v>
      </c>
      <c r="F19" s="309">
        <f>+'F-CRes'!E12</f>
        <v>30999275.446801748</v>
      </c>
      <c r="G19" s="309">
        <f>+'F-CRes'!F12</f>
        <v>31749322.515055388</v>
      </c>
      <c r="H19" s="390">
        <f t="shared" si="1"/>
        <v>138475152.09636381</v>
      </c>
    </row>
    <row r="20" spans="1:8" x14ac:dyDescent="0.25">
      <c r="A20" t="s">
        <v>809</v>
      </c>
      <c r="B20" s="541">
        <v>0</v>
      </c>
      <c r="C20" s="541">
        <v>0</v>
      </c>
      <c r="D20" s="541">
        <v>0</v>
      </c>
      <c r="E20" s="541">
        <v>0</v>
      </c>
      <c r="F20" s="541">
        <v>0</v>
      </c>
      <c r="G20" s="541">
        <v>0</v>
      </c>
      <c r="H20" s="390">
        <f t="shared" si="1"/>
        <v>0</v>
      </c>
    </row>
    <row r="21" spans="1:8" x14ac:dyDescent="0.25">
      <c r="A21" t="s">
        <v>810</v>
      </c>
      <c r="B21" s="309">
        <f>+'F-IVA'!B17</f>
        <v>78967035.483022273</v>
      </c>
      <c r="C21" s="309">
        <f>+'F-IVA'!C17</f>
        <v>18890879.699450374</v>
      </c>
      <c r="D21" s="309">
        <f>+'F-IVA'!D17</f>
        <v>-6718.1173510631916</v>
      </c>
      <c r="E21" s="309">
        <f>+'F-IVA'!E17</f>
        <v>17163726.904109586</v>
      </c>
      <c r="F21" s="309">
        <f>+'F-IVA'!F17</f>
        <v>-17163726.904109586</v>
      </c>
      <c r="G21" s="309">
        <f>+'F-IVA'!G17</f>
        <v>0</v>
      </c>
      <c r="H21" s="390">
        <f t="shared" si="1"/>
        <v>97851197.065121576</v>
      </c>
    </row>
    <row r="22" spans="1:8" x14ac:dyDescent="0.25">
      <c r="A22" t="s">
        <v>811</v>
      </c>
      <c r="B22" s="389"/>
      <c r="C22" s="389"/>
      <c r="D22" s="389"/>
      <c r="E22" s="389"/>
      <c r="F22" s="389"/>
      <c r="G22" s="540"/>
      <c r="H22" s="390">
        <f t="shared" si="1"/>
        <v>0</v>
      </c>
    </row>
    <row r="23" spans="1:8" x14ac:dyDescent="0.25">
      <c r="B23" s="312"/>
      <c r="C23" s="312"/>
      <c r="D23" s="312"/>
      <c r="E23" s="312"/>
      <c r="F23" s="312"/>
      <c r="G23" s="313"/>
      <c r="H23" s="314"/>
    </row>
    <row r="24" spans="1:8" x14ac:dyDescent="0.25">
      <c r="A24" s="294" t="s">
        <v>812</v>
      </c>
      <c r="B24" s="309">
        <f t="shared" ref="B24:G24" si="3">+B5-B13</f>
        <v>0</v>
      </c>
      <c r="C24" s="309">
        <f t="shared" si="3"/>
        <v>232701946.3491447</v>
      </c>
      <c r="D24" s="309">
        <f t="shared" si="3"/>
        <v>406131339.57692432</v>
      </c>
      <c r="E24" s="309">
        <f t="shared" si="3"/>
        <v>484262840.93650866</v>
      </c>
      <c r="F24" s="309">
        <f t="shared" si="3"/>
        <v>738705020.9253974</v>
      </c>
      <c r="G24" s="309">
        <f t="shared" si="3"/>
        <v>917694289.0233686</v>
      </c>
      <c r="H24" s="311">
        <f>+SUM(B24:G24)</f>
        <v>2779495436.8113437</v>
      </c>
    </row>
    <row r="25" spans="1:8" x14ac:dyDescent="0.25">
      <c r="A25" s="294" t="s">
        <v>813</v>
      </c>
      <c r="B25" s="309"/>
      <c r="C25" s="309">
        <f>+'E-Inv AF y Am'!$D$57+'RES CRED'!$C$25</f>
        <v>17598861.514766652</v>
      </c>
      <c r="D25" s="309">
        <f>+'E-Inv AF y Am'!$D$57+'RES CRED'!$C$25</f>
        <v>17598861.514766652</v>
      </c>
      <c r="E25" s="309">
        <f>+'E-Inv AF y Am'!$D$57+'RES CRED'!$C$25</f>
        <v>17598861.514766652</v>
      </c>
      <c r="F25" s="309">
        <f>+'E-Inv AF y Am'!$D$57</f>
        <v>12060358.945166651</v>
      </c>
      <c r="G25" s="309">
        <f>+'E-Inv AF y Am'!$D$57</f>
        <v>12060358.945166651</v>
      </c>
      <c r="H25" s="311">
        <f>+SUM(B25:G25)</f>
        <v>76917302.434633255</v>
      </c>
    </row>
    <row r="26" spans="1:8" x14ac:dyDescent="0.25">
      <c r="A26" s="294"/>
      <c r="B26" s="312"/>
      <c r="C26" s="312"/>
      <c r="D26" s="312"/>
      <c r="E26" s="312"/>
      <c r="F26" s="312"/>
      <c r="G26" s="313"/>
      <c r="H26" s="578"/>
    </row>
    <row r="27" spans="1:8" x14ac:dyDescent="0.25">
      <c r="A27" s="294" t="s">
        <v>814</v>
      </c>
      <c r="B27" s="391">
        <f t="shared" ref="B27:G27" si="4">+B24+B25</f>
        <v>0</v>
      </c>
      <c r="C27" s="391">
        <f t="shared" si="4"/>
        <v>250300807.86391136</v>
      </c>
      <c r="D27" s="391">
        <f t="shared" si="4"/>
        <v>423730201.09169096</v>
      </c>
      <c r="E27" s="391">
        <f t="shared" si="4"/>
        <v>501861702.45127529</v>
      </c>
      <c r="F27" s="391">
        <f t="shared" si="4"/>
        <v>750765379.8705641</v>
      </c>
      <c r="G27" s="391">
        <f t="shared" si="4"/>
        <v>929754647.9685353</v>
      </c>
      <c r="H27" s="392">
        <f>SUM(B27:G27)</f>
        <v>2856412739.2459769</v>
      </c>
    </row>
    <row r="28" spans="1:8" ht="13.8" thickBot="1" x14ac:dyDescent="0.3">
      <c r="A28" s="341" t="s">
        <v>815</v>
      </c>
      <c r="B28" s="463">
        <f>+B27</f>
        <v>0</v>
      </c>
      <c r="C28" s="463">
        <f>+C27-C6</f>
        <v>250300807.86391136</v>
      </c>
      <c r="D28" s="463">
        <f>+D27-D6</f>
        <v>173429393.2277796</v>
      </c>
      <c r="E28" s="463">
        <f>+E27-E6</f>
        <v>78131501.359584332</v>
      </c>
      <c r="F28" s="463">
        <f>+F27-F6</f>
        <v>248903677.41928881</v>
      </c>
      <c r="G28" s="463">
        <f>+G27-G6</f>
        <v>178989268.0979712</v>
      </c>
      <c r="H28" s="480">
        <f>+SUM(B28:G28)</f>
        <v>929754647.9685353</v>
      </c>
    </row>
    <row r="29" spans="1:8" ht="13.8" thickTop="1" x14ac:dyDescent="0.25"/>
  </sheetData>
  <pageMargins left="0.32013888888888897" right="0.75" top="0.6" bottom="0.24027777777777801" header="0.511811023622047" footer="0.511811023622047"/>
  <pageSetup paperSize="9" fitToHeight="4" orientation="landscape" horizontalDpi="300" verticalDpi="30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8"/>
  <sheetViews>
    <sheetView topLeftCell="A12" zoomScale="80" zoomScaleNormal="80" workbookViewId="0">
      <selection activeCell="E24" sqref="E24"/>
    </sheetView>
  </sheetViews>
  <sheetFormatPr baseColWidth="10" defaultColWidth="11.33203125" defaultRowHeight="13.2" x14ac:dyDescent="0.25"/>
  <cols>
    <col min="1" max="1" width="37.44140625" customWidth="1"/>
    <col min="2" max="2" width="17.44140625" customWidth="1"/>
    <col min="3" max="4" width="16.88671875" bestFit="1" customWidth="1"/>
    <col min="5" max="7" width="18.33203125" bestFit="1" customWidth="1"/>
    <col min="8" max="8" width="17.33203125" customWidth="1"/>
  </cols>
  <sheetData>
    <row r="1" spans="1:7" x14ac:dyDescent="0.25">
      <c r="A1" s="281" t="s">
        <v>405</v>
      </c>
      <c r="E1" s="282">
        <f>InfoInicial!E1</f>
        <v>11</v>
      </c>
    </row>
    <row r="3" spans="1:7" ht="15.6" x14ac:dyDescent="0.3">
      <c r="A3" s="502" t="s">
        <v>816</v>
      </c>
      <c r="B3" s="503"/>
      <c r="C3" s="503"/>
      <c r="D3" s="503"/>
      <c r="E3" s="503"/>
      <c r="F3" s="503"/>
      <c r="G3" s="504"/>
    </row>
    <row r="4" spans="1:7" ht="13.8" thickBot="1" x14ac:dyDescent="0.3">
      <c r="A4" s="335"/>
      <c r="B4" s="434" t="s">
        <v>259</v>
      </c>
      <c r="C4" s="434" t="s">
        <v>92</v>
      </c>
      <c r="D4" s="434" t="s">
        <v>284</v>
      </c>
      <c r="E4" s="434" t="s">
        <v>285</v>
      </c>
      <c r="F4" s="434" t="s">
        <v>286</v>
      </c>
      <c r="G4" s="435" t="s">
        <v>287</v>
      </c>
    </row>
    <row r="5" spans="1:7" ht="13.8" thickTop="1" x14ac:dyDescent="0.25">
      <c r="A5" s="358" t="s">
        <v>817</v>
      </c>
      <c r="B5" s="544">
        <f>+SUM(B7:B11)</f>
        <v>149910861.87656066</v>
      </c>
      <c r="C5" s="544">
        <f>+SUM(C7:C11)</f>
        <v>454329612.12234908</v>
      </c>
      <c r="D5" s="544">
        <f t="shared" ref="D5:G5" si="0">+SUM(D7:D11)</f>
        <v>615390278.20071256</v>
      </c>
      <c r="E5" s="544">
        <f t="shared" si="0"/>
        <v>775253812.43700933</v>
      </c>
      <c r="F5" s="544">
        <f t="shared" si="0"/>
        <v>942425456.97958577</v>
      </c>
      <c r="G5" s="545">
        <f t="shared" si="0"/>
        <v>1121414725.0775568</v>
      </c>
    </row>
    <row r="6" spans="1:7" x14ac:dyDescent="0.25">
      <c r="A6" s="333" t="s">
        <v>818</v>
      </c>
      <c r="B6" s="312"/>
      <c r="C6" s="312"/>
      <c r="D6" s="312"/>
      <c r="E6" s="312"/>
      <c r="F6" s="312"/>
      <c r="G6" s="314"/>
    </row>
    <row r="7" spans="1:7" x14ac:dyDescent="0.25">
      <c r="A7" s="354" t="s">
        <v>819</v>
      </c>
      <c r="B7" s="541">
        <f>+'E-InvAT'!B6</f>
        <v>3977625.6000000001</v>
      </c>
      <c r="C7" s="541">
        <f>+'E-InvAT'!C6</f>
        <v>19888128</v>
      </c>
      <c r="D7" s="541">
        <f>+'E-InvAT'!D6</f>
        <v>19888128</v>
      </c>
      <c r="E7" s="541">
        <f>+'E-InvAT'!E6</f>
        <v>19888128</v>
      </c>
      <c r="F7" s="541">
        <f>+'E-InvAT'!F6</f>
        <v>19888128</v>
      </c>
      <c r="G7" s="543">
        <f>+'E-InvAT'!G6</f>
        <v>19888128</v>
      </c>
    </row>
    <row r="8" spans="1:7" x14ac:dyDescent="0.25">
      <c r="A8" s="354" t="s">
        <v>820</v>
      </c>
      <c r="B8" s="309">
        <f>+'F- CFyU'!B27</f>
        <v>0</v>
      </c>
      <c r="C8" s="309">
        <f>+'F- CFyU'!C27</f>
        <v>250300807.86391136</v>
      </c>
      <c r="D8" s="309">
        <f>+'F- CFyU'!D27</f>
        <v>423730201.09169096</v>
      </c>
      <c r="E8" s="309">
        <f>+'F- CFyU'!E27</f>
        <v>501861702.45127529</v>
      </c>
      <c r="F8" s="309">
        <f>+'F- CFyU'!F27</f>
        <v>750765379.8705641</v>
      </c>
      <c r="G8" s="311">
        <f>+'F- CFyU'!G27</f>
        <v>929754647.9685353</v>
      </c>
    </row>
    <row r="9" spans="1:7" x14ac:dyDescent="0.25">
      <c r="A9" s="333" t="s">
        <v>821</v>
      </c>
      <c r="B9" s="541">
        <f>+'E-InvAT'!B7</f>
        <v>0</v>
      </c>
      <c r="C9" s="541">
        <f>+'E-InvAT'!C7</f>
        <v>81732032.876712322</v>
      </c>
      <c r="D9" s="541">
        <f>+'E-InvAT'!D7</f>
        <v>81732032.876712322</v>
      </c>
      <c r="E9" s="541">
        <f>+'E-InvAT'!E7</f>
        <v>163464065.75342464</v>
      </c>
      <c r="F9" s="541">
        <f>+'E-InvAT'!F7</f>
        <v>81732032.876712322</v>
      </c>
      <c r="G9" s="543">
        <f>+'E-InvAT'!G7</f>
        <v>81732032.876712322</v>
      </c>
    </row>
    <row r="10" spans="1:7" x14ac:dyDescent="0.25">
      <c r="A10" s="333" t="s">
        <v>822</v>
      </c>
      <c r="B10" s="309">
        <f>+'E-InvAT'!B9</f>
        <v>66966200.793538392</v>
      </c>
      <c r="C10" s="309">
        <f>+'E-InvAT'!C9</f>
        <v>90170762.07053636</v>
      </c>
      <c r="D10" s="309">
        <f>+'E-InvAT'!D9</f>
        <v>90039916.232309297</v>
      </c>
      <c r="E10" s="309">
        <f>+'E-InvAT'!E9</f>
        <v>90039916.232309297</v>
      </c>
      <c r="F10" s="309">
        <f>+'E-InvAT'!F9</f>
        <v>90039916.232309297</v>
      </c>
      <c r="G10" s="311">
        <f>+'E-InvAT'!G9</f>
        <v>90039916.232309297</v>
      </c>
    </row>
    <row r="11" spans="1:7" x14ac:dyDescent="0.25">
      <c r="A11" s="333" t="s">
        <v>823</v>
      </c>
      <c r="B11" s="389">
        <f>IF('F-IVA'!C19-'F-IVA'!B18&gt;0,'F-IVA'!B18,IF('F-IVA'!C17&lt;0,'F-IVA'!C19-'F-IVA'!C17,'F-IVA'!C19))</f>
        <v>78967035.483022273</v>
      </c>
      <c r="C11" s="389">
        <f>IF('F-IVA'!D19-'F-IVA'!C18&gt;0,'F-IVA'!C18,IF('F-IVA'!D17&lt;0,'F-IVA'!D19-'F-IVA'!D17,'F-IVA'!D19))</f>
        <v>12237881.311189011</v>
      </c>
      <c r="D11" s="389">
        <f>IF('F-IVA'!E19-'F-IVA'!D18&gt;0,'F-IVA'!D18,IF('F-IVA'!E17&lt;0,'F-IVA'!E19-'F-IVA'!E17,'F-IVA'!E19))</f>
        <v>0</v>
      </c>
      <c r="E11" s="389">
        <f>IF('F-IVA'!F19-'F-IVA'!E18&gt;0,'F-IVA'!E18,IF('F-IVA'!F17&lt;0,'F-IVA'!F19-'F-IVA'!F17,'F-IVA'!F19))</f>
        <v>0</v>
      </c>
      <c r="F11" s="389">
        <f>IF('F-IVA'!G19-'F-IVA'!F18&gt;0,'F-IVA'!F18,IF('F-IVA'!G17&lt;0,'F-IVA'!G19-'F-IVA'!G17,'F-IVA'!G19))</f>
        <v>0</v>
      </c>
      <c r="G11" s="390">
        <f>IF('F-IVA'!H19-'F-IVA'!G18&gt;0,'F-IVA'!G18,IF('F-IVA'!H17&lt;0,'F-IVA'!H19-'F-IVA'!H17,'F-IVA'!H19))</f>
        <v>0</v>
      </c>
    </row>
    <row r="12" spans="1:7" x14ac:dyDescent="0.25">
      <c r="A12" s="333" t="s">
        <v>824</v>
      </c>
      <c r="B12" s="389">
        <f t="shared" ref="B12:G12" si="1">+B17+B22+B23</f>
        <v>309067301.50656766</v>
      </c>
      <c r="C12" s="389">
        <f>+C17+C22+C23</f>
        <v>279164673.18826193</v>
      </c>
      <c r="D12" s="389">
        <f t="shared" si="1"/>
        <v>261565811.67349526</v>
      </c>
      <c r="E12" s="389">
        <f t="shared" si="1"/>
        <v>243966950.1587286</v>
      </c>
      <c r="F12" s="389">
        <f t="shared" si="1"/>
        <v>231906591.21356195</v>
      </c>
      <c r="G12" s="390">
        <f t="shared" si="1"/>
        <v>219846232.2683953</v>
      </c>
    </row>
    <row r="13" spans="1:7" x14ac:dyDescent="0.25">
      <c r="A13" s="333" t="s">
        <v>825</v>
      </c>
      <c r="B13" s="546"/>
      <c r="C13" s="546"/>
      <c r="D13" s="546"/>
      <c r="E13" s="546"/>
      <c r="F13" s="546"/>
      <c r="G13" s="547"/>
    </row>
    <row r="14" spans="1:7" x14ac:dyDescent="0.25">
      <c r="A14" s="354" t="s">
        <v>826</v>
      </c>
      <c r="B14" s="309">
        <f>+'F-2 Estructura'!B7</f>
        <v>21021652.909376003</v>
      </c>
      <c r="C14" s="309">
        <f>+B17</f>
        <v>21021652.909376003</v>
      </c>
      <c r="D14" s="309">
        <f>+C17</f>
        <v>4758907.8568295669</v>
      </c>
      <c r="E14" s="309">
        <f>+D17</f>
        <v>799929.60782217421</v>
      </c>
      <c r="F14" s="309">
        <f>+E17</f>
        <v>-3159048.6411852185</v>
      </c>
      <c r="G14" s="311">
        <f>+F17</f>
        <v>-1579524.3205926099</v>
      </c>
    </row>
    <row r="15" spans="1:7" x14ac:dyDescent="0.25">
      <c r="A15" s="354" t="s">
        <v>827</v>
      </c>
      <c r="B15" s="541"/>
      <c r="C15" s="541">
        <f>+'F-2 Estructura'!C7</f>
        <v>-12303766.803539043</v>
      </c>
      <c r="D15" s="541"/>
      <c r="E15" s="541"/>
      <c r="F15" s="541"/>
      <c r="G15" s="543"/>
    </row>
    <row r="16" spans="1:7" x14ac:dyDescent="0.25">
      <c r="A16" s="354" t="s">
        <v>828</v>
      </c>
      <c r="B16" s="309"/>
      <c r="C16" s="309">
        <f>+'RES CRED'!$C$25+'E-Inv AF y Am'!$D$54</f>
        <v>3958978.2490073927</v>
      </c>
      <c r="D16" s="309">
        <f>+'RES CRED'!$C$25+'E-Inv AF y Am'!$D$54</f>
        <v>3958978.2490073927</v>
      </c>
      <c r="E16" s="309">
        <f>+'RES CRED'!$C$25+'E-Inv AF y Am'!$D$54</f>
        <v>3958978.2490073927</v>
      </c>
      <c r="F16" s="309">
        <f>+'E-Inv AF y Am'!$E$54</f>
        <v>-1579524.3205926085</v>
      </c>
      <c r="G16" s="311">
        <f>+'E-Inv AF y Am'!$E$54</f>
        <v>-1579524.3205926085</v>
      </c>
    </row>
    <row r="17" spans="1:7" x14ac:dyDescent="0.25">
      <c r="A17" s="354" t="s">
        <v>829</v>
      </c>
      <c r="B17" s="309">
        <f t="shared" ref="B17:G17" si="2">+B14+B15-B16</f>
        <v>21021652.909376003</v>
      </c>
      <c r="C17" s="309">
        <f t="shared" si="2"/>
        <v>4758907.8568295669</v>
      </c>
      <c r="D17" s="309">
        <f t="shared" si="2"/>
        <v>799929.60782217421</v>
      </c>
      <c r="E17" s="309">
        <f t="shared" si="2"/>
        <v>-3159048.6411852185</v>
      </c>
      <c r="F17" s="309">
        <f t="shared" si="2"/>
        <v>-1579524.3205926099</v>
      </c>
      <c r="G17" s="311">
        <f t="shared" si="2"/>
        <v>0</v>
      </c>
    </row>
    <row r="18" spans="1:7" x14ac:dyDescent="0.25">
      <c r="A18" s="333" t="s">
        <v>579</v>
      </c>
      <c r="B18" s="541"/>
      <c r="C18" s="541"/>
      <c r="D18" s="541"/>
      <c r="E18" s="541"/>
      <c r="F18" s="541"/>
      <c r="G18" s="543"/>
    </row>
    <row r="19" spans="1:7" x14ac:dyDescent="0.25">
      <c r="A19" s="354" t="s">
        <v>826</v>
      </c>
      <c r="B19" s="309">
        <f>+'F-2 Estructura'!B6</f>
        <v>288045648.59719163</v>
      </c>
      <c r="C19" s="309">
        <f>+B22</f>
        <v>288045648.59719163</v>
      </c>
      <c r="D19" s="309">
        <f>+C22</f>
        <v>274405765.33143234</v>
      </c>
      <c r="E19" s="309">
        <f>+D22</f>
        <v>260765882.06567308</v>
      </c>
      <c r="F19" s="309">
        <f>+E22</f>
        <v>247125998.79991382</v>
      </c>
      <c r="G19" s="311">
        <f>+F22</f>
        <v>233486115.53415456</v>
      </c>
    </row>
    <row r="20" spans="1:7" x14ac:dyDescent="0.25">
      <c r="A20" s="354" t="s">
        <v>830</v>
      </c>
      <c r="B20" s="309"/>
      <c r="C20" s="309"/>
      <c r="D20" s="309"/>
      <c r="E20" s="309"/>
      <c r="F20" s="309"/>
      <c r="G20" s="311"/>
    </row>
    <row r="21" spans="1:7" x14ac:dyDescent="0.25">
      <c r="A21" s="354" t="s">
        <v>831</v>
      </c>
      <c r="B21" s="309"/>
      <c r="C21" s="309">
        <f>+'E-Inv AF y Am'!$D$52</f>
        <v>13639883.265759259</v>
      </c>
      <c r="D21" s="309">
        <f>+'E-Inv AF y Am'!$D$52</f>
        <v>13639883.265759259</v>
      </c>
      <c r="E21" s="309">
        <f>+'E-Inv AF y Am'!$D$52</f>
        <v>13639883.265759259</v>
      </c>
      <c r="F21" s="309">
        <f>+ 'E-Inv AF y Am'!$E$52</f>
        <v>13639883.265759259</v>
      </c>
      <c r="G21" s="311">
        <f>+ 'E-Inv AF y Am'!$E$52</f>
        <v>13639883.265759259</v>
      </c>
    </row>
    <row r="22" spans="1:7" x14ac:dyDescent="0.25">
      <c r="A22" s="354" t="s">
        <v>829</v>
      </c>
      <c r="B22" s="541">
        <f t="shared" ref="B22:G22" si="3">+B19+B20-B21</f>
        <v>288045648.59719163</v>
      </c>
      <c r="C22" s="541">
        <f t="shared" si="3"/>
        <v>274405765.33143234</v>
      </c>
      <c r="D22" s="541">
        <f t="shared" si="3"/>
        <v>260765882.06567308</v>
      </c>
      <c r="E22" s="541">
        <f t="shared" si="3"/>
        <v>247125998.79991382</v>
      </c>
      <c r="F22" s="541">
        <f t="shared" si="3"/>
        <v>233486115.53415456</v>
      </c>
      <c r="G22" s="543">
        <f t="shared" si="3"/>
        <v>219846232.2683953</v>
      </c>
    </row>
    <row r="23" spans="1:7" x14ac:dyDescent="0.25">
      <c r="A23" s="333" t="s">
        <v>832</v>
      </c>
      <c r="B23" s="541">
        <v>0</v>
      </c>
      <c r="C23" s="541">
        <v>0</v>
      </c>
      <c r="D23" s="541">
        <v>0</v>
      </c>
      <c r="E23" s="541">
        <v>0</v>
      </c>
      <c r="F23" s="541">
        <f>+'F-IVA'!F18-'F-IVA'!G19</f>
        <v>0</v>
      </c>
      <c r="G23" s="543">
        <f>+'F-IVA'!G18-'F-IVA'!H19</f>
        <v>0</v>
      </c>
    </row>
    <row r="24" spans="1:7" x14ac:dyDescent="0.25">
      <c r="A24" s="333" t="s">
        <v>833</v>
      </c>
      <c r="B24" s="541">
        <f t="shared" ref="B24:G24" si="4">+B5+B12</f>
        <v>458978163.38312829</v>
      </c>
      <c r="C24" s="541">
        <f t="shared" si="4"/>
        <v>733494285.31061101</v>
      </c>
      <c r="D24" s="541">
        <f t="shared" si="4"/>
        <v>876956089.87420785</v>
      </c>
      <c r="E24" s="541">
        <f t="shared" si="4"/>
        <v>1019220762.5957379</v>
      </c>
      <c r="F24" s="541">
        <f t="shared" si="4"/>
        <v>1174332048.1931477</v>
      </c>
      <c r="G24" s="543">
        <f t="shared" si="4"/>
        <v>1341260957.345952</v>
      </c>
    </row>
    <row r="25" spans="1:7" x14ac:dyDescent="0.25">
      <c r="A25" s="333" t="s">
        <v>834</v>
      </c>
      <c r="B25" s="541">
        <f>+SUM(B26:B27)</f>
        <v>7692364.6800000016</v>
      </c>
      <c r="C25" s="541">
        <f t="shared" ref="C25:G25" si="5">+SUM(C26:C27)</f>
        <v>33826280.110573739</v>
      </c>
      <c r="D25" s="541">
        <f t="shared" si="5"/>
        <v>33826280.110573739</v>
      </c>
      <c r="E25" s="541">
        <f t="shared" si="5"/>
        <v>33826280.110573739</v>
      </c>
      <c r="F25" s="541">
        <f t="shared" si="5"/>
        <v>26133915.430573732</v>
      </c>
      <c r="G25" s="543">
        <f t="shared" si="5"/>
        <v>18441550.750573732</v>
      </c>
    </row>
    <row r="26" spans="1:7" x14ac:dyDescent="0.25">
      <c r="A26" s="333" t="s">
        <v>835</v>
      </c>
      <c r="B26" s="541">
        <v>0</v>
      </c>
      <c r="C26" s="309">
        <f>+'F-Cred'!$D$6</f>
        <v>18441550.750573732</v>
      </c>
      <c r="D26" s="309">
        <f>+'F-Cred'!$D$6</f>
        <v>18441550.750573732</v>
      </c>
      <c r="E26" s="309">
        <f>+'F-Cred'!$D$6</f>
        <v>18441550.750573732</v>
      </c>
      <c r="F26" s="309">
        <f>+'F-Cred'!$D$6</f>
        <v>18441550.750573732</v>
      </c>
      <c r="G26" s="311">
        <f>+'F-Cred'!$D$6</f>
        <v>18441550.750573732</v>
      </c>
    </row>
    <row r="27" spans="1:7" x14ac:dyDescent="0.25">
      <c r="A27" s="333" t="s">
        <v>836</v>
      </c>
      <c r="B27" s="309">
        <f>+'F-Cred'!E24</f>
        <v>7692364.6800000016</v>
      </c>
      <c r="C27" s="590">
        <f>+'F-Cred'!E26</f>
        <v>15384729.360000003</v>
      </c>
      <c r="D27" s="590">
        <f>+'F-Cred'!E28</f>
        <v>15384729.360000003</v>
      </c>
      <c r="E27" s="590">
        <f>+'F-Cred'!E30</f>
        <v>15384729.360000003</v>
      </c>
      <c r="F27" s="590">
        <f>+'F-Cred'!E32</f>
        <v>7692364.6800000016</v>
      </c>
      <c r="G27" s="594">
        <v>0</v>
      </c>
    </row>
    <row r="28" spans="1:7" x14ac:dyDescent="0.25">
      <c r="A28" s="333" t="s">
        <v>837</v>
      </c>
      <c r="B28" s="309">
        <f t="shared" ref="B28:G28" si="6">+B29</f>
        <v>53846552.760000013</v>
      </c>
      <c r="C28" s="309">
        <f t="shared" si="6"/>
        <v>38461823.400000013</v>
      </c>
      <c r="D28" s="309">
        <f t="shared" si="6"/>
        <v>23077094.040000003</v>
      </c>
      <c r="E28" s="309">
        <f t="shared" si="6"/>
        <v>7692364.6799999997</v>
      </c>
      <c r="F28" s="309">
        <f t="shared" si="6"/>
        <v>0</v>
      </c>
      <c r="G28" s="311">
        <f t="shared" si="6"/>
        <v>0</v>
      </c>
    </row>
    <row r="29" spans="1:7" x14ac:dyDescent="0.25">
      <c r="A29" s="333" t="s">
        <v>838</v>
      </c>
      <c r="B29" s="541">
        <f>+'F-Cred'!B24-'F-Cred'!$D$6</f>
        <v>53846552.760000013</v>
      </c>
      <c r="C29" s="541">
        <f>+'F-Cred'!B26-'F-Cred'!$D$6</f>
        <v>38461823.400000013</v>
      </c>
      <c r="D29" s="541">
        <f>+'F-Cred'!$E$38-'F-Cred'!$E$24-'F-Cred'!$E$26-'F-Cred'!$E$28</f>
        <v>23077094.040000003</v>
      </c>
      <c r="E29" s="541">
        <f>+'F-Cred'!$E$38-'F-Cred'!$E$24-'F-Cred'!$E$26-'F-Cred'!$E$28-'F-Cred'!$E$30</f>
        <v>7692364.6799999997</v>
      </c>
      <c r="F29" s="541"/>
      <c r="G29" s="543"/>
    </row>
    <row r="30" spans="1:7" x14ac:dyDescent="0.25">
      <c r="A30" s="333" t="s">
        <v>839</v>
      </c>
      <c r="B30" s="391">
        <f>+B25+B28</f>
        <v>61538917.440000013</v>
      </c>
      <c r="C30" s="391">
        <f t="shared" ref="C30:G30" si="7">+C25+C28</f>
        <v>72288103.510573745</v>
      </c>
      <c r="D30" s="391">
        <f t="shared" si="7"/>
        <v>56903374.150573745</v>
      </c>
      <c r="E30" s="391">
        <f t="shared" si="7"/>
        <v>41518644.790573739</v>
      </c>
      <c r="F30" s="391">
        <f t="shared" si="7"/>
        <v>26133915.430573732</v>
      </c>
      <c r="G30" s="392">
        <f t="shared" si="7"/>
        <v>18441550.750573732</v>
      </c>
    </row>
    <row r="31" spans="1:7" x14ac:dyDescent="0.25">
      <c r="A31" s="333" t="s">
        <v>840</v>
      </c>
      <c r="B31" s="309">
        <f t="shared" ref="B31:G31" si="8">+SUM(B32:B34)</f>
        <v>397439245.94312829</v>
      </c>
      <c r="C31" s="309">
        <f t="shared" si="8"/>
        <v>661206181.80003738</v>
      </c>
      <c r="D31" s="309">
        <f t="shared" si="8"/>
        <v>820052715.72363436</v>
      </c>
      <c r="E31" s="309">
        <f t="shared" si="8"/>
        <v>977702117.80516458</v>
      </c>
      <c r="F31" s="309">
        <f t="shared" si="8"/>
        <v>1148198132.7625742</v>
      </c>
      <c r="G31" s="311">
        <f t="shared" si="8"/>
        <v>1322819406.5953789</v>
      </c>
    </row>
    <row r="32" spans="1:7" x14ac:dyDescent="0.25">
      <c r="A32" s="333" t="s">
        <v>841</v>
      </c>
      <c r="B32" s="309">
        <f>+'F-2 Estructura'!B31</f>
        <v>397439245.94312829</v>
      </c>
      <c r="C32" s="309">
        <f>+'F-2 Estructura'!$D$31</f>
        <v>561206070.06537783</v>
      </c>
      <c r="D32" s="309">
        <f>+'F-2 Estructura'!$D$31</f>
        <v>561206070.06537783</v>
      </c>
      <c r="E32" s="309">
        <f>+'F-2 Estructura'!$D$31</f>
        <v>561206070.06537783</v>
      </c>
      <c r="F32" s="309">
        <f>+'F-2 Estructura'!$D$31</f>
        <v>561206070.06537783</v>
      </c>
      <c r="G32" s="311">
        <f>+'F-2 Estructura'!$D$31</f>
        <v>561206070.06537783</v>
      </c>
    </row>
    <row r="33" spans="1:7" x14ac:dyDescent="0.25">
      <c r="A33" s="333" t="s">
        <v>842</v>
      </c>
      <c r="B33" s="541"/>
      <c r="C33" s="541">
        <f>+'F-CRes'!B14</f>
        <v>100000111.73465958</v>
      </c>
      <c r="D33" s="541">
        <f>+'F-CRes'!C14</f>
        <v>158846533.92359692</v>
      </c>
      <c r="E33" s="541">
        <f>+'F-CRes'!D14</f>
        <v>157649402.08153024</v>
      </c>
      <c r="F33" s="541">
        <f>+'F-CRes'!E14</f>
        <v>170496014.95740962</v>
      </c>
      <c r="G33" s="543">
        <f>+'F-CRes'!F14</f>
        <v>174621273.83280468</v>
      </c>
    </row>
    <row r="34" spans="1:7" x14ac:dyDescent="0.25">
      <c r="A34" s="333" t="s">
        <v>843</v>
      </c>
      <c r="B34" s="309"/>
      <c r="C34" s="309">
        <f>+B33+B34</f>
        <v>0</v>
      </c>
      <c r="D34" s="309">
        <f>+C33+C34</f>
        <v>100000111.73465958</v>
      </c>
      <c r="E34" s="309">
        <f>+D33+D34</f>
        <v>258846645.6582565</v>
      </c>
      <c r="F34" s="309">
        <f>+E33+E34</f>
        <v>416496047.73978674</v>
      </c>
      <c r="G34" s="311">
        <f>+F33+F34</f>
        <v>586992062.69719636</v>
      </c>
    </row>
    <row r="35" spans="1:7" ht="13.8" thickBot="1" x14ac:dyDescent="0.3">
      <c r="A35" s="341" t="s">
        <v>844</v>
      </c>
      <c r="B35" s="463">
        <f>+B30+B31</f>
        <v>458978163.38312829</v>
      </c>
      <c r="C35" s="463">
        <f>+C30+C31</f>
        <v>733494285.31061113</v>
      </c>
      <c r="D35" s="463">
        <f t="shared" ref="D35:G35" si="9">+D30+D31</f>
        <v>876956089.87420809</v>
      </c>
      <c r="E35" s="463">
        <f t="shared" si="9"/>
        <v>1019220762.5957383</v>
      </c>
      <c r="F35" s="463">
        <f t="shared" si="9"/>
        <v>1174332048.1931479</v>
      </c>
      <c r="G35" s="480">
        <f t="shared" si="9"/>
        <v>1341260957.3459525</v>
      </c>
    </row>
    <row r="36" spans="1:7" ht="13.8" thickTop="1" x14ac:dyDescent="0.25">
      <c r="C36" s="579">
        <f>+C35-C24</f>
        <v>0</v>
      </c>
      <c r="D36" s="579">
        <f>+D35-D24</f>
        <v>0</v>
      </c>
    </row>
    <row r="38" spans="1:7" x14ac:dyDescent="0.25">
      <c r="A38" s="548" t="s">
        <v>845</v>
      </c>
      <c r="B38" s="500" t="str">
        <f t="shared" ref="B38:G38" si="10">IF(ROUND(B24,3)=ROUND(B35,3),"OK","MAL")</f>
        <v>OK</v>
      </c>
      <c r="C38" s="500" t="str">
        <f>IF(ROUND(C24,3)=ROUND(C35,3),"OK","MAL")</f>
        <v>OK</v>
      </c>
      <c r="D38" s="500" t="str">
        <f t="shared" si="10"/>
        <v>OK</v>
      </c>
      <c r="E38" s="500" t="str">
        <f t="shared" si="10"/>
        <v>OK</v>
      </c>
      <c r="F38" s="500" t="str">
        <f t="shared" si="10"/>
        <v>OK</v>
      </c>
      <c r="G38" s="500" t="str">
        <f t="shared" si="10"/>
        <v>OK</v>
      </c>
    </row>
  </sheetData>
  <conditionalFormatting sqref="B38:G38">
    <cfRule type="cellIs" dxfId="27" priority="2" operator="equal">
      <formula>"OK"</formula>
    </cfRule>
    <cfRule type="cellIs" dxfId="26" priority="3" operator="equal">
      <formula>"MAL"</formula>
    </cfRule>
  </conditionalFormatting>
  <conditionalFormatting sqref="C38">
    <cfRule type="cellIs" dxfId="25" priority="4" operator="equal">
      <formula>"OK"</formula>
    </cfRule>
    <cfRule type="cellIs" dxfId="24" priority="5" operator="equal">
      <formula>"MAL"</formula>
    </cfRule>
  </conditionalFormatting>
  <conditionalFormatting sqref="D38">
    <cfRule type="cellIs" dxfId="23" priority="6" operator="equal">
      <formula>"OK"</formula>
    </cfRule>
    <cfRule type="cellIs" dxfId="22" priority="7" operator="equal">
      <formula>"MAL"</formula>
    </cfRule>
  </conditionalFormatting>
  <conditionalFormatting sqref="E38">
    <cfRule type="cellIs" dxfId="21" priority="8" operator="equal">
      <formula>"OK"</formula>
    </cfRule>
    <cfRule type="cellIs" dxfId="20" priority="9" operator="equal">
      <formula>"MAL"</formula>
    </cfRule>
  </conditionalFormatting>
  <conditionalFormatting sqref="F38">
    <cfRule type="cellIs" dxfId="19" priority="10" operator="equal">
      <formula>"OK"</formula>
    </cfRule>
    <cfRule type="cellIs" dxfId="18" priority="11" operator="equal">
      <formula>"MAL"</formula>
    </cfRule>
  </conditionalFormatting>
  <conditionalFormatting sqref="G38">
    <cfRule type="cellIs" dxfId="17" priority="12" operator="equal">
      <formula>"OK"</formula>
    </cfRule>
    <cfRule type="cellIs" dxfId="16" priority="13" operator="equal">
      <formula>"MAL"</formula>
    </cfRule>
  </conditionalFormatting>
  <pageMargins left="0.32013888888888897" right="0.75" top="0.6" bottom="0.24027777777777801" header="0.511811023622047" footer="0.511811023622047"/>
  <pageSetup paperSize="9" fitToHeight="4"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6"/>
  <sheetViews>
    <sheetView zoomScale="110" zoomScaleNormal="110" workbookViewId="0">
      <selection activeCell="D16" sqref="D16"/>
    </sheetView>
  </sheetViews>
  <sheetFormatPr baseColWidth="10" defaultColWidth="11.33203125" defaultRowHeight="13.2" x14ac:dyDescent="0.25"/>
  <cols>
    <col min="1" max="1" width="7.6640625" customWidth="1"/>
    <col min="2" max="2" width="18.88671875" customWidth="1"/>
    <col min="3" max="3" width="17.88671875" customWidth="1"/>
    <col min="4" max="4" width="18" bestFit="1" customWidth="1"/>
    <col min="5" max="5" width="18.33203125" customWidth="1"/>
    <col min="6" max="6" width="18.88671875" customWidth="1"/>
    <col min="7" max="7" width="18.6640625" customWidth="1"/>
    <col min="8" max="8" width="19.33203125" customWidth="1"/>
    <col min="9" max="9" width="17.88671875" customWidth="1"/>
    <col min="10" max="10" width="17.44140625" customWidth="1"/>
    <col min="11" max="11" width="18.109375" customWidth="1"/>
    <col min="12" max="12" width="19.88671875" customWidth="1"/>
    <col min="13" max="13" width="18.44140625" customWidth="1"/>
    <col min="14" max="14" width="17.44140625" customWidth="1"/>
    <col min="15" max="15" width="17.33203125" customWidth="1"/>
  </cols>
  <sheetData>
    <row r="1" spans="1:14" x14ac:dyDescent="0.25">
      <c r="A1" s="281" t="s">
        <v>405</v>
      </c>
      <c r="G1" s="282">
        <f>InfoInicial!E1</f>
        <v>11</v>
      </c>
    </row>
    <row r="3" spans="1:14" ht="15.6" x14ac:dyDescent="0.3">
      <c r="A3" s="428" t="s">
        <v>846</v>
      </c>
      <c r="B3" s="297"/>
      <c r="C3" s="297"/>
      <c r="D3" s="297"/>
      <c r="E3" s="297"/>
      <c r="F3" s="297"/>
      <c r="G3" s="297"/>
      <c r="H3" s="297"/>
      <c r="I3" s="297"/>
      <c r="J3" s="297"/>
      <c r="K3" s="297"/>
      <c r="L3" s="297"/>
      <c r="M3" s="297"/>
      <c r="N3" s="298"/>
    </row>
    <row r="4" spans="1:14" ht="26.4" x14ac:dyDescent="0.25">
      <c r="A4" s="432" t="s">
        <v>235</v>
      </c>
      <c r="B4" s="300" t="s">
        <v>804</v>
      </c>
      <c r="C4" s="300" t="s">
        <v>847</v>
      </c>
      <c r="D4" s="300" t="s">
        <v>614</v>
      </c>
      <c r="E4" s="300" t="s">
        <v>500</v>
      </c>
      <c r="F4" s="300" t="s">
        <v>615</v>
      </c>
      <c r="G4" s="300" t="s">
        <v>616</v>
      </c>
      <c r="H4" s="300" t="s">
        <v>848</v>
      </c>
      <c r="I4" s="300" t="s">
        <v>849</v>
      </c>
      <c r="J4" s="300" t="s">
        <v>436</v>
      </c>
      <c r="K4" s="300" t="s">
        <v>618</v>
      </c>
      <c r="L4" s="300" t="s">
        <v>619</v>
      </c>
      <c r="M4" s="549" t="s">
        <v>620</v>
      </c>
      <c r="N4" s="550" t="s">
        <v>621</v>
      </c>
    </row>
    <row r="5" spans="1:14" x14ac:dyDescent="0.25">
      <c r="A5" s="487">
        <v>0</v>
      </c>
      <c r="B5" s="488">
        <f>+'F- CFyU'!B14</f>
        <v>309067301.50656766</v>
      </c>
      <c r="C5" s="327">
        <f>+'F- CFyU'!B15</f>
        <v>70943826.393538386</v>
      </c>
      <c r="D5" s="327">
        <f>+'F-IVA'!B17</f>
        <v>78967035.483022273</v>
      </c>
      <c r="E5" s="327"/>
      <c r="F5" s="327"/>
      <c r="G5" s="327">
        <f t="shared" ref="G5:G10" si="0">+SUM(B5:F5)</f>
        <v>458978163.38312835</v>
      </c>
      <c r="H5" s="327"/>
      <c r="I5" s="327">
        <f>+'F-Cred'!K21</f>
        <v>16615507.708800003</v>
      </c>
      <c r="J5" s="327"/>
      <c r="K5" s="327"/>
      <c r="L5" s="327">
        <f t="shared" ref="L5:L10" si="1">+SUM(H5:K5)</f>
        <v>16615507.708800003</v>
      </c>
      <c r="M5" s="489">
        <f t="shared" ref="M5:M10" si="2">+L5-G5</f>
        <v>-442362655.67432833</v>
      </c>
      <c r="N5" s="362">
        <f>+M5</f>
        <v>-442362655.67432833</v>
      </c>
    </row>
    <row r="6" spans="1:14" x14ac:dyDescent="0.25">
      <c r="A6" s="490">
        <v>1</v>
      </c>
      <c r="B6" s="488">
        <f>+'F- CFyU'!C14</f>
        <v>-12303766.803539043</v>
      </c>
      <c r="C6" s="309">
        <f>+'F- CFyU'!C15</f>
        <v>120847096.55371031</v>
      </c>
      <c r="D6" s="309">
        <f>+'F-IVA'!C17</f>
        <v>18890879.699450374</v>
      </c>
      <c r="E6" s="309">
        <f>+'F-CRes'!B12</f>
        <v>18181838.49721083</v>
      </c>
      <c r="F6" s="309">
        <f>+'F-CRes'!B13</f>
        <v>63636434.740237899</v>
      </c>
      <c r="G6" s="327">
        <f t="shared" si="0"/>
        <v>209252482.68707037</v>
      </c>
      <c r="H6" s="309">
        <f>+'F-CRes'!B11</f>
        <v>181818384.9721083</v>
      </c>
      <c r="I6" s="309">
        <f>+'F-Cred'!G24</f>
        <v>43678544.245401621</v>
      </c>
      <c r="J6" s="309">
        <f>+'F- CFyU'!C25</f>
        <v>17598861.514766652</v>
      </c>
      <c r="K6" s="309">
        <f>+'F-IVA'!C19</f>
        <v>85620033.871283635</v>
      </c>
      <c r="L6" s="327">
        <f t="shared" si="1"/>
        <v>328715824.60356021</v>
      </c>
      <c r="M6" s="489">
        <f t="shared" si="2"/>
        <v>119463341.91648984</v>
      </c>
      <c r="N6" s="311">
        <f>+N5+M6</f>
        <v>-322899313.75783849</v>
      </c>
    </row>
    <row r="7" spans="1:14" x14ac:dyDescent="0.25">
      <c r="A7" s="490">
        <v>2</v>
      </c>
      <c r="B7" s="491"/>
      <c r="C7" s="327">
        <f>+'F- CFyU'!D15</f>
        <v>-130845.83822709322</v>
      </c>
      <c r="D7" s="309">
        <f>+'F-IVA'!D17</f>
        <v>-6718.1173510631916</v>
      </c>
      <c r="E7" s="309">
        <f>+'F-CRes'!C12</f>
        <v>28881187.98610853</v>
      </c>
      <c r="F7" s="309">
        <f>+'F-CRes'!C13</f>
        <v>101084157.95137985</v>
      </c>
      <c r="G7" s="327">
        <f t="shared" si="0"/>
        <v>129827781.98191023</v>
      </c>
      <c r="H7" s="309">
        <f>++'F-CRes'!C11</f>
        <v>288811879.8610853</v>
      </c>
      <c r="I7" s="309">
        <f>+'F-Cred'!G26</f>
        <v>37909270.735401616</v>
      </c>
      <c r="J7" s="309">
        <f>+'F- CFyU'!D25</f>
        <v>17598861.514766652</v>
      </c>
      <c r="K7" s="309">
        <f>+'F-IVA'!D19</f>
        <v>12231163.193837948</v>
      </c>
      <c r="L7" s="327">
        <f t="shared" si="1"/>
        <v>356551175.3050915</v>
      </c>
      <c r="M7" s="489">
        <f t="shared" si="2"/>
        <v>226723393.32318127</v>
      </c>
      <c r="N7" s="311">
        <f>+N6+M7</f>
        <v>-96175920.434657216</v>
      </c>
    </row>
    <row r="8" spans="1:14" x14ac:dyDescent="0.25">
      <c r="A8" s="490">
        <v>3</v>
      </c>
      <c r="B8" s="491"/>
      <c r="C8" s="309"/>
      <c r="D8" s="327">
        <f>+'F-IVA'!E17</f>
        <v>17163726.904109586</v>
      </c>
      <c r="E8" s="309">
        <f>+'F-CRes'!D12</f>
        <v>28663527.651187319</v>
      </c>
      <c r="F8" s="309">
        <f>+'F-CRes'!D13</f>
        <v>100322346.77915561</v>
      </c>
      <c r="G8" s="327">
        <f t="shared" si="0"/>
        <v>146149601.33445251</v>
      </c>
      <c r="H8" s="309">
        <f>++'F-CRes'!D11</f>
        <v>286635276.51187319</v>
      </c>
      <c r="I8" s="309">
        <f>+'F-Cred'!G28</f>
        <v>30216906.055401616</v>
      </c>
      <c r="J8" s="309">
        <f>+'F- CFyU'!E25</f>
        <v>17598861.514766652</v>
      </c>
      <c r="K8" s="309">
        <f>+'F-IVA'!E19</f>
        <v>17163726.904109586</v>
      </c>
      <c r="L8" s="327">
        <f t="shared" si="1"/>
        <v>351614770.98615104</v>
      </c>
      <c r="M8" s="489">
        <f t="shared" si="2"/>
        <v>205465169.65169853</v>
      </c>
      <c r="N8" s="311">
        <f>+N7+M8</f>
        <v>109289249.21704131</v>
      </c>
    </row>
    <row r="9" spans="1:14" x14ac:dyDescent="0.25">
      <c r="A9" s="490">
        <v>4</v>
      </c>
      <c r="B9" s="491"/>
      <c r="C9" s="327"/>
      <c r="D9" s="309">
        <f>+'F-IVA'!F17</f>
        <v>-17163726.904109586</v>
      </c>
      <c r="E9" s="309">
        <f>+'F-CRes'!E12</f>
        <v>30999275.446801748</v>
      </c>
      <c r="F9" s="309">
        <f>+'F-CRes'!E13</f>
        <v>108497464.0638061</v>
      </c>
      <c r="G9" s="327">
        <f t="shared" si="0"/>
        <v>122333012.60649827</v>
      </c>
      <c r="H9" s="309">
        <f>++'F-CRes'!E11</f>
        <v>309992754.46801746</v>
      </c>
      <c r="I9" s="309">
        <f>+'F-Cred'!G30</f>
        <v>22524541.375401616</v>
      </c>
      <c r="J9" s="309">
        <f>+'F- CFyU'!F25</f>
        <v>12060358.945166651</v>
      </c>
      <c r="K9" s="309">
        <f>+'F-IVA'!F19</f>
        <v>-17163726.904109586</v>
      </c>
      <c r="L9" s="327">
        <f t="shared" si="1"/>
        <v>327413927.88447613</v>
      </c>
      <c r="M9" s="489">
        <f t="shared" si="2"/>
        <v>205080915.27797785</v>
      </c>
      <c r="N9" s="311">
        <f>+N8+M9</f>
        <v>314370164.4950192</v>
      </c>
    </row>
    <row r="10" spans="1:14" x14ac:dyDescent="0.25">
      <c r="A10" s="490">
        <v>5</v>
      </c>
      <c r="B10" s="491">
        <f>-'E-Inv AF y Am'!G57</f>
        <v>-219846232.26839536</v>
      </c>
      <c r="C10" s="309">
        <f>+'F- CFyU'!G15-'F- CFyU'!H15</f>
        <v>-191660077.1090216</v>
      </c>
      <c r="D10" s="309">
        <f>+'F-IVA'!G17</f>
        <v>0</v>
      </c>
      <c r="E10" s="309">
        <f>+'F-CRes'!F12</f>
        <v>31749322.515055388</v>
      </c>
      <c r="F10" s="309">
        <f>+'F-CRes'!F13</f>
        <v>111122628.80269386</v>
      </c>
      <c r="G10" s="327">
        <f t="shared" si="0"/>
        <v>-268634358.05966771</v>
      </c>
      <c r="H10" s="309">
        <f>++'F-CRes'!F11</f>
        <v>317493225.15055388</v>
      </c>
      <c r="I10" s="309">
        <f>+'F-Cred'!G32</f>
        <v>14832176.695401613</v>
      </c>
      <c r="J10" s="309">
        <f>+'F- CFyU'!G25</f>
        <v>12060358.945166651</v>
      </c>
      <c r="K10" s="309">
        <f>+'F-IVA'!G19</f>
        <v>0</v>
      </c>
      <c r="L10" s="327">
        <f t="shared" si="1"/>
        <v>344385760.79112214</v>
      </c>
      <c r="M10" s="489">
        <f t="shared" si="2"/>
        <v>613020118.85078979</v>
      </c>
      <c r="N10" s="311">
        <f>+N9+M10</f>
        <v>927390283.34580898</v>
      </c>
    </row>
    <row r="11" spans="1:14" x14ac:dyDescent="0.25">
      <c r="A11" s="490"/>
      <c r="B11" s="492"/>
      <c r="C11" s="312"/>
      <c r="D11" s="312"/>
      <c r="E11" s="312"/>
      <c r="F11" s="312"/>
      <c r="G11" s="312"/>
      <c r="H11" s="312"/>
      <c r="I11" s="312"/>
      <c r="J11" s="312"/>
      <c r="K11" s="312"/>
      <c r="L11" s="312"/>
      <c r="M11" s="313"/>
      <c r="N11" s="314"/>
    </row>
    <row r="12" spans="1:14" x14ac:dyDescent="0.25">
      <c r="A12" s="493" t="s">
        <v>622</v>
      </c>
      <c r="B12" s="494">
        <f t="shared" ref="B12:M12" si="3">+SUM(B5:B10)</f>
        <v>76917302.434633255</v>
      </c>
      <c r="C12" s="494">
        <f t="shared" si="3"/>
        <v>0</v>
      </c>
      <c r="D12" s="494">
        <f t="shared" si="3"/>
        <v>97851197.065121576</v>
      </c>
      <c r="E12" s="494">
        <f t="shared" si="3"/>
        <v>138475152.09636381</v>
      </c>
      <c r="F12" s="494">
        <f t="shared" si="3"/>
        <v>484663032.3372733</v>
      </c>
      <c r="G12" s="494">
        <f t="shared" si="3"/>
        <v>797906683.93339205</v>
      </c>
      <c r="H12" s="494">
        <f t="shared" si="3"/>
        <v>1384751520.9636381</v>
      </c>
      <c r="I12" s="494">
        <f t="shared" si="3"/>
        <v>165776946.81580809</v>
      </c>
      <c r="J12" s="494">
        <f t="shared" si="3"/>
        <v>76917302.434633255</v>
      </c>
      <c r="K12" s="494">
        <f t="shared" si="3"/>
        <v>97851197.065121591</v>
      </c>
      <c r="L12" s="494">
        <f t="shared" si="3"/>
        <v>1725296967.279201</v>
      </c>
      <c r="M12" s="494">
        <f t="shared" si="3"/>
        <v>927390283.34580898</v>
      </c>
      <c r="N12" s="496"/>
    </row>
    <row r="14" spans="1:14" x14ac:dyDescent="0.25">
      <c r="C14" s="285" t="s">
        <v>623</v>
      </c>
      <c r="D14" s="497">
        <f>+H12-F12-E12+I12</f>
        <v>927390283.34580898</v>
      </c>
    </row>
    <row r="15" spans="1:14" x14ac:dyDescent="0.25">
      <c r="A15" s="294"/>
      <c r="C15" s="285" t="s">
        <v>624</v>
      </c>
      <c r="D15" s="593">
        <f>2-(N7/M8)</f>
        <v>2.4680886818806962</v>
      </c>
      <c r="E15" t="s">
        <v>625</v>
      </c>
    </row>
    <row r="16" spans="1:14" x14ac:dyDescent="0.25">
      <c r="C16" s="285" t="s">
        <v>850</v>
      </c>
      <c r="D16" s="498">
        <f>+IRR(M5:M10)</f>
        <v>0.40093915040753325</v>
      </c>
      <c r="J16" s="60"/>
      <c r="K16" s="60"/>
    </row>
    <row r="17" spans="1:15" x14ac:dyDescent="0.25">
      <c r="C17" s="285" t="s">
        <v>851</v>
      </c>
      <c r="D17" s="498">
        <v>0.25</v>
      </c>
      <c r="J17" s="551"/>
      <c r="K17" s="202"/>
    </row>
    <row r="18" spans="1:15" x14ac:dyDescent="0.25">
      <c r="A18" s="5"/>
      <c r="B18" s="357"/>
      <c r="C18" s="357" t="s">
        <v>852</v>
      </c>
      <c r="D18" s="608">
        <f>+NPV(D17,M6:M10)+M5</f>
        <v>188384731.89025569</v>
      </c>
      <c r="E18" s="357"/>
      <c r="F18" s="552"/>
      <c r="G18" s="552"/>
      <c r="H18" s="552"/>
      <c r="I18" s="552"/>
      <c r="J18" s="551"/>
      <c r="K18" s="202"/>
      <c r="L18" s="552"/>
      <c r="M18" s="552"/>
      <c r="N18" s="552"/>
      <c r="O18" s="357"/>
    </row>
    <row r="19" spans="1:15" ht="15" x14ac:dyDescent="0.25">
      <c r="A19" s="553"/>
      <c r="B19" s="552"/>
      <c r="C19" s="554"/>
      <c r="D19" s="552"/>
      <c r="E19" s="552"/>
      <c r="F19" s="552"/>
      <c r="G19" s="552"/>
      <c r="H19" s="552"/>
      <c r="I19" s="552"/>
      <c r="J19" s="551"/>
      <c r="K19" s="202"/>
      <c r="L19" s="552"/>
      <c r="M19" s="552"/>
      <c r="N19" s="552"/>
    </row>
    <row r="20" spans="1:15" x14ac:dyDescent="0.25">
      <c r="J20" s="551"/>
      <c r="K20" s="202"/>
    </row>
    <row r="21" spans="1:15" x14ac:dyDescent="0.25">
      <c r="A21" s="555"/>
      <c r="K21" s="202"/>
    </row>
    <row r="22" spans="1:15" ht="15.6" x14ac:dyDescent="0.3">
      <c r="A22" s="428" t="s">
        <v>853</v>
      </c>
      <c r="B22" s="297"/>
      <c r="C22" s="297"/>
      <c r="D22" s="297"/>
      <c r="E22" s="297"/>
      <c r="F22" s="297"/>
      <c r="G22" s="297"/>
      <c r="H22" s="298"/>
      <c r="K22" s="645" t="s">
        <v>627</v>
      </c>
      <c r="L22" s="645"/>
    </row>
    <row r="23" spans="1:15" ht="26.4" x14ac:dyDescent="0.25">
      <c r="A23" s="432" t="s">
        <v>235</v>
      </c>
      <c r="B23" s="300" t="s">
        <v>854</v>
      </c>
      <c r="C23" s="300" t="s">
        <v>616</v>
      </c>
      <c r="D23" s="300" t="s">
        <v>809</v>
      </c>
      <c r="E23" s="300" t="s">
        <v>855</v>
      </c>
      <c r="F23" s="300" t="s">
        <v>619</v>
      </c>
      <c r="G23" s="549" t="s">
        <v>620</v>
      </c>
      <c r="H23" s="550" t="s">
        <v>621</v>
      </c>
      <c r="K23" s="655" t="s">
        <v>628</v>
      </c>
      <c r="L23" s="655"/>
    </row>
    <row r="24" spans="1:15" x14ac:dyDescent="0.25">
      <c r="A24" s="487">
        <v>0</v>
      </c>
      <c r="B24" s="488">
        <f>+'F-2 Estructura'!B31</f>
        <v>397439245.94312829</v>
      </c>
      <c r="C24" s="327">
        <f t="shared" ref="C24:C29" si="4">+B24</f>
        <v>397439245.94312829</v>
      </c>
      <c r="D24" s="327">
        <v>0</v>
      </c>
      <c r="E24" s="327"/>
      <c r="F24" s="327">
        <f t="shared" ref="F24:F29" si="5">+SUM(D24:E24)</f>
        <v>0</v>
      </c>
      <c r="G24" s="489">
        <f t="shared" ref="G24:G29" si="6">+F24-C24</f>
        <v>-397439245.94312829</v>
      </c>
      <c r="H24" s="362">
        <f>+G24</f>
        <v>-397439245.94312829</v>
      </c>
      <c r="K24" s="499" t="s">
        <v>436</v>
      </c>
      <c r="L24" s="500" t="str">
        <f>IF(ROUND(B12,3)=ROUND(J12,3),"OK","MAL")</f>
        <v>OK</v>
      </c>
    </row>
    <row r="25" spans="1:15" x14ac:dyDescent="0.25">
      <c r="A25" s="490">
        <v>1</v>
      </c>
      <c r="B25" s="491">
        <f>+'F-2 Estructura'!C31</f>
        <v>163766824.12224957</v>
      </c>
      <c r="C25" s="327">
        <f t="shared" si="4"/>
        <v>163766824.12224957</v>
      </c>
      <c r="D25" s="327">
        <v>0</v>
      </c>
      <c r="E25" s="309">
        <f>+'F- CFyU'!C28</f>
        <v>250300807.86391136</v>
      </c>
      <c r="F25" s="327">
        <f t="shared" si="5"/>
        <v>250300807.86391136</v>
      </c>
      <c r="G25" s="489">
        <f t="shared" si="6"/>
        <v>86533983.741661787</v>
      </c>
      <c r="H25" s="311">
        <f>+G25+H24</f>
        <v>-310905262.2014665</v>
      </c>
      <c r="K25" s="499" t="s">
        <v>382</v>
      </c>
      <c r="L25" s="500" t="str">
        <f>IF(ROUND(D12,3)=ROUND(K12,3),"OK","MAL")</f>
        <v>OK</v>
      </c>
    </row>
    <row r="26" spans="1:15" x14ac:dyDescent="0.25">
      <c r="A26" s="490">
        <v>2</v>
      </c>
      <c r="B26" s="491"/>
      <c r="C26" s="327">
        <f t="shared" si="4"/>
        <v>0</v>
      </c>
      <c r="D26" s="327">
        <v>0</v>
      </c>
      <c r="E26" s="309">
        <f>+'F- CFyU'!D28</f>
        <v>173429393.2277796</v>
      </c>
      <c r="F26" s="327">
        <f t="shared" si="5"/>
        <v>173429393.2277796</v>
      </c>
      <c r="G26" s="489">
        <f t="shared" si="6"/>
        <v>173429393.2277796</v>
      </c>
      <c r="H26" s="311">
        <f>+G26+H25</f>
        <v>-137475868.9736869</v>
      </c>
      <c r="K26" s="499" t="s">
        <v>629</v>
      </c>
      <c r="L26" s="500" t="str">
        <f>IF(ROUND(C12,3)=0,"OK","MAL")</f>
        <v>OK</v>
      </c>
    </row>
    <row r="27" spans="1:15" x14ac:dyDescent="0.25">
      <c r="A27" s="490">
        <v>3</v>
      </c>
      <c r="B27" s="491"/>
      <c r="C27" s="327">
        <f t="shared" si="4"/>
        <v>0</v>
      </c>
      <c r="D27" s="327">
        <v>0</v>
      </c>
      <c r="E27" s="309">
        <f>+'F- CFyU'!E28</f>
        <v>78131501.359584332</v>
      </c>
      <c r="F27" s="327">
        <f t="shared" si="5"/>
        <v>78131501.359584332</v>
      </c>
      <c r="G27" s="489">
        <f t="shared" si="6"/>
        <v>78131501.359584332</v>
      </c>
      <c r="H27" s="311">
        <f>+G27+H26</f>
        <v>-59344367.614102572</v>
      </c>
      <c r="K27" s="499" t="s">
        <v>630</v>
      </c>
      <c r="L27" s="500" t="str">
        <f>IF(ROUND((H12-F12-E12+I12),3)=ROUND(M12,3),IF(ROUND(M12,3)=ROUND(N10,3),"OK","MAL"),"MAL")</f>
        <v>OK</v>
      </c>
    </row>
    <row r="28" spans="1:15" x14ac:dyDescent="0.25">
      <c r="A28" s="490">
        <v>4</v>
      </c>
      <c r="B28" s="491"/>
      <c r="C28" s="327">
        <f t="shared" si="4"/>
        <v>0</v>
      </c>
      <c r="D28" s="327">
        <v>0</v>
      </c>
      <c r="E28" s="309">
        <f>+'F- CFyU'!F28</f>
        <v>248903677.41928881</v>
      </c>
      <c r="F28" s="327">
        <f t="shared" si="5"/>
        <v>248903677.41928881</v>
      </c>
      <c r="G28" s="489">
        <f t="shared" si="6"/>
        <v>248903677.41928881</v>
      </c>
      <c r="H28" s="311">
        <f>+G28+H27</f>
        <v>189559309.80518624</v>
      </c>
      <c r="K28" s="499" t="s">
        <v>630</v>
      </c>
      <c r="L28" s="500" t="str">
        <f>IF(ROUND(H12+I12,3)=ROUND('E-Form'!H11,3),"OK","MAL")</f>
        <v>OK</v>
      </c>
    </row>
    <row r="29" spans="1:15" x14ac:dyDescent="0.25">
      <c r="A29" s="490">
        <v>5</v>
      </c>
      <c r="B29" s="491">
        <f>+B10+C10+'RES CRED'!D14</f>
        <v>-393064758.62684321</v>
      </c>
      <c r="C29" s="327">
        <f t="shared" si="4"/>
        <v>-393064758.62684321</v>
      </c>
      <c r="D29" s="327">
        <v>0</v>
      </c>
      <c r="E29" s="309">
        <f>+'F- CFyU'!G28</f>
        <v>178989268.0979712</v>
      </c>
      <c r="F29" s="327">
        <f t="shared" si="5"/>
        <v>178989268.0979712</v>
      </c>
      <c r="G29" s="489">
        <f t="shared" si="6"/>
        <v>572054026.72481441</v>
      </c>
      <c r="H29" s="311">
        <f>+G29+H28</f>
        <v>761613336.53000069</v>
      </c>
      <c r="K29" s="655" t="s">
        <v>856</v>
      </c>
      <c r="L29" s="655"/>
    </row>
    <row r="30" spans="1:15" x14ac:dyDescent="0.25">
      <c r="A30" s="490"/>
      <c r="B30" s="492"/>
      <c r="C30" s="312"/>
      <c r="D30" s="312"/>
      <c r="E30" s="312"/>
      <c r="F30" s="312"/>
      <c r="G30" s="313"/>
      <c r="H30" s="314"/>
      <c r="K30" s="499" t="s">
        <v>857</v>
      </c>
      <c r="L30" s="500" t="str">
        <f>IF(ROUND((H12-E12-F12),3)=ROUND(G31,3),"OK","MAL")</f>
        <v>OK</v>
      </c>
    </row>
    <row r="31" spans="1:15" x14ac:dyDescent="0.25">
      <c r="A31" s="493" t="s">
        <v>622</v>
      </c>
      <c r="B31" s="494">
        <f t="shared" ref="B31:G31" si="7">+SUM(B24:B29)</f>
        <v>168141311.43853462</v>
      </c>
      <c r="C31" s="494">
        <f t="shared" si="7"/>
        <v>168141311.43853462</v>
      </c>
      <c r="D31" s="494">
        <f t="shared" si="7"/>
        <v>0</v>
      </c>
      <c r="E31" s="494">
        <f t="shared" si="7"/>
        <v>929754647.9685353</v>
      </c>
      <c r="F31" s="494">
        <f t="shared" si="7"/>
        <v>929754647.9685353</v>
      </c>
      <c r="G31" s="494">
        <f t="shared" si="7"/>
        <v>761613336.53000069</v>
      </c>
      <c r="H31" s="496"/>
      <c r="K31" s="499" t="s">
        <v>858</v>
      </c>
      <c r="L31" s="500" t="str">
        <f>IF(ROUND(('F- CFyU'!H28-'F- CFyU'!H7-'F- CFyU'!H8+'F- CFyU'!H14-'F- CFyU'!H25+'F- CFyU'!H15),3)=ROUND('F- Form'!G31,3),"OK","MAL")</f>
        <v>OK</v>
      </c>
    </row>
    <row r="32" spans="1:15" x14ac:dyDescent="0.25">
      <c r="K32" s="499" t="s">
        <v>859</v>
      </c>
      <c r="L32" s="500" t="str">
        <f>IF(ROUND('F-CRes'!G14,3)=ROUND(G31,3),"OK","MAL")</f>
        <v>OK</v>
      </c>
    </row>
    <row r="33" spans="3:12" x14ac:dyDescent="0.25">
      <c r="K33" s="499" t="s">
        <v>860</v>
      </c>
      <c r="L33" s="500" t="str">
        <f>IF(ROUND(('F-Balance'!G33+'F-Balance'!G34),3)=ROUND('F- Form'!G31,3),"OK","MAL")</f>
        <v>OK</v>
      </c>
    </row>
    <row r="34" spans="3:12" x14ac:dyDescent="0.25">
      <c r="C34" s="285" t="s">
        <v>623</v>
      </c>
      <c r="D34" s="497">
        <f>+H29</f>
        <v>761613336.53000069</v>
      </c>
      <c r="E34" t="s">
        <v>861</v>
      </c>
      <c r="K34" s="499" t="s">
        <v>862</v>
      </c>
      <c r="L34" s="500" t="str">
        <f>IF(ROUND(('F- CFyU'!H10-'F- CFyU'!H16-'F- CFyU'!H19-'F- CFyU'!H17),3)=ROUND(G31,3),"OK","MAL")</f>
        <v>OK</v>
      </c>
    </row>
    <row r="35" spans="3:12" x14ac:dyDescent="0.25">
      <c r="C35" s="285" t="s">
        <v>624</v>
      </c>
      <c r="D35" s="600">
        <f>+A26-(H26/G27)</f>
        <v>3.7595446981235163</v>
      </c>
      <c r="E35" t="s">
        <v>863</v>
      </c>
      <c r="K35" s="655" t="s">
        <v>864</v>
      </c>
      <c r="L35" s="655"/>
    </row>
    <row r="36" spans="3:12" x14ac:dyDescent="0.25">
      <c r="C36" s="285" t="s">
        <v>865</v>
      </c>
      <c r="D36" s="498">
        <f>IRR(G24:G29)</f>
        <v>0.34592914033718425</v>
      </c>
      <c r="K36" s="499" t="s">
        <v>866</v>
      </c>
      <c r="L36" s="500" t="str">
        <f>IF(SUM('F-Balance'!B35:G35)=SUM('F-Balance'!B24:G24),"OK","MAL")</f>
        <v>OK</v>
      </c>
    </row>
  </sheetData>
  <mergeCells count="4">
    <mergeCell ref="K22:L22"/>
    <mergeCell ref="K23:L23"/>
    <mergeCell ref="K29:L29"/>
    <mergeCell ref="K35:L35"/>
  </mergeCells>
  <conditionalFormatting sqref="L23">
    <cfRule type="cellIs" dxfId="15" priority="2" operator="equal">
      <formula>"OK"</formula>
    </cfRule>
    <cfRule type="cellIs" dxfId="14" priority="3" operator="equal">
      <formula>"MAL"</formula>
    </cfRule>
  </conditionalFormatting>
  <conditionalFormatting sqref="L24">
    <cfRule type="cellIs" dxfId="13" priority="4" operator="equal">
      <formula>"OK"</formula>
    </cfRule>
    <cfRule type="cellIs" dxfId="12" priority="5" operator="equal">
      <formula>"MAL"</formula>
    </cfRule>
  </conditionalFormatting>
  <conditionalFormatting sqref="L25 L34 L36">
    <cfRule type="cellIs" dxfId="11" priority="6" operator="equal">
      <formula>"OK"</formula>
    </cfRule>
    <cfRule type="cellIs" dxfId="10" priority="7" operator="equal">
      <formula>"MAL"</formula>
    </cfRule>
  </conditionalFormatting>
  <conditionalFormatting sqref="L26 L32 L28">
    <cfRule type="cellIs" dxfId="9" priority="8" operator="equal">
      <formula>"OK"</formula>
    </cfRule>
    <cfRule type="cellIs" dxfId="8" priority="9" operator="equal">
      <formula>"MAL"</formula>
    </cfRule>
  </conditionalFormatting>
  <conditionalFormatting sqref="L30">
    <cfRule type="cellIs" dxfId="7" priority="10" operator="equal">
      <formula>"OK"</formula>
    </cfRule>
    <cfRule type="cellIs" dxfId="6" priority="11" operator="equal">
      <formula>"MAL"</formula>
    </cfRule>
  </conditionalFormatting>
  <conditionalFormatting sqref="L31">
    <cfRule type="cellIs" dxfId="5" priority="12" operator="equal">
      <formula>"OK"</formula>
    </cfRule>
    <cfRule type="cellIs" dxfId="4" priority="13" operator="equal">
      <formula>"MAL"</formula>
    </cfRule>
  </conditionalFormatting>
  <conditionalFormatting sqref="L33">
    <cfRule type="cellIs" dxfId="3" priority="14" operator="equal">
      <formula>"OK"</formula>
    </cfRule>
    <cfRule type="cellIs" dxfId="2" priority="15" operator="equal">
      <formula>"MAL"</formula>
    </cfRule>
  </conditionalFormatting>
  <conditionalFormatting sqref="L27">
    <cfRule type="cellIs" dxfId="1" priority="16" operator="equal">
      <formula>"OK"</formula>
    </cfRule>
    <cfRule type="cellIs" dxfId="0" priority="17" operator="equal">
      <formula>"MAL"</formula>
    </cfRule>
  </conditionalFormatting>
  <pageMargins left="0.25972222222222202" right="0.45972222222222198" top="1.27013888888889" bottom="1" header="0.511811023622047" footer="0.511811023622047"/>
  <pageSetup paperSize="9" fitToHeight="4"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7A4C-558A-E345-A75B-8E7B77349CE8}">
  <sheetPr>
    <tabColor rgb="FFF4B084"/>
  </sheetPr>
  <dimension ref="A1:F9"/>
  <sheetViews>
    <sheetView showGridLines="0" tabSelected="1" workbookViewId="0">
      <selection activeCell="A2" sqref="A2"/>
    </sheetView>
  </sheetViews>
  <sheetFormatPr baseColWidth="10" defaultColWidth="11.44140625" defaultRowHeight="13.2" x14ac:dyDescent="0.25"/>
  <cols>
    <col min="2" max="2" width="17.44140625" customWidth="1"/>
    <col min="3" max="3" width="17.44140625" bestFit="1" customWidth="1"/>
    <col min="4" max="4" width="16.33203125" bestFit="1" customWidth="1"/>
    <col min="5" max="5" width="17.44140625" bestFit="1" customWidth="1"/>
    <col min="6" max="6" width="18" bestFit="1" customWidth="1"/>
  </cols>
  <sheetData>
    <row r="1" spans="1:6" x14ac:dyDescent="0.25">
      <c r="A1" s="3"/>
      <c r="B1" s="3"/>
      <c r="C1" s="3"/>
      <c r="D1" s="3"/>
      <c r="E1" s="3"/>
      <c r="F1" s="3"/>
    </row>
    <row r="2" spans="1:6" x14ac:dyDescent="0.25">
      <c r="A2" t="s">
        <v>872</v>
      </c>
      <c r="B2" s="603" t="s">
        <v>873</v>
      </c>
      <c r="C2" s="607"/>
      <c r="D2" s="607"/>
      <c r="E2" s="607"/>
      <c r="F2" s="607"/>
    </row>
    <row r="3" spans="1:6" x14ac:dyDescent="0.25">
      <c r="A3" s="3"/>
      <c r="B3" s="3"/>
      <c r="C3" s="3"/>
      <c r="D3" s="3"/>
      <c r="E3" s="3"/>
      <c r="F3" s="3"/>
    </row>
    <row r="4" spans="1:6" ht="14.1" customHeight="1" thickBot="1" x14ac:dyDescent="0.3">
      <c r="A4" s="605"/>
      <c r="B4" s="601" t="s">
        <v>626</v>
      </c>
      <c r="C4" s="601" t="s">
        <v>868</v>
      </c>
      <c r="D4" s="601" t="s">
        <v>869</v>
      </c>
      <c r="E4" s="3"/>
      <c r="F4" s="3"/>
    </row>
    <row r="5" spans="1:6" ht="14.1" customHeight="1" thickBot="1" x14ac:dyDescent="0.3">
      <c r="A5" s="601" t="s">
        <v>867</v>
      </c>
      <c r="B5" s="659">
        <v>0.38057460822223699</v>
      </c>
      <c r="C5" s="656">
        <v>168462184.36603999</v>
      </c>
      <c r="D5" s="660">
        <v>2.5939240414424081</v>
      </c>
      <c r="E5" s="3"/>
      <c r="F5" s="3"/>
    </row>
    <row r="6" spans="1:6" ht="13.8" thickBot="1" x14ac:dyDescent="0.3">
      <c r="A6" s="601" t="s">
        <v>870</v>
      </c>
      <c r="B6" s="606">
        <v>0.40093915040753325</v>
      </c>
      <c r="C6" s="657">
        <v>188384731.89025569</v>
      </c>
      <c r="D6" s="617">
        <v>2.4680886818806962</v>
      </c>
      <c r="E6" s="3"/>
      <c r="F6" s="3"/>
    </row>
    <row r="7" spans="1:6" ht="14.1" customHeight="1" x14ac:dyDescent="0.25">
      <c r="A7" s="602" t="s">
        <v>871</v>
      </c>
      <c r="B7" s="604">
        <f>B6-B5</f>
        <v>2.0364542185296264E-2</v>
      </c>
      <c r="C7" s="609">
        <f>C6-C5</f>
        <v>19922547.524215698</v>
      </c>
      <c r="D7" s="658">
        <f>D5-D6</f>
        <v>0.12583535956171188</v>
      </c>
      <c r="E7" s="3"/>
      <c r="F7" s="3"/>
    </row>
    <row r="8" spans="1:6" ht="12.9" customHeight="1" x14ac:dyDescent="0.25"/>
    <row r="9" spans="1:6" ht="12.9" customHeight="1" x14ac:dyDescent="0.25"/>
  </sheetData>
  <pageMargins left="0.7" right="0.7" top="0.75" bottom="0.75" header="0.3" footer="0.3"/>
  <pageSetup paperSize="9" orientation="portrait" horizontalDpi="12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9D18E"/>
  </sheetPr>
  <dimension ref="A3:O64"/>
  <sheetViews>
    <sheetView topLeftCell="A10" zoomScale="75" zoomScaleNormal="75" workbookViewId="0">
      <selection activeCell="B35" sqref="B35"/>
    </sheetView>
  </sheetViews>
  <sheetFormatPr baseColWidth="10" defaultColWidth="11.44140625" defaultRowHeight="13.2" x14ac:dyDescent="0.25"/>
  <cols>
    <col min="1" max="1" width="27.44140625" customWidth="1"/>
    <col min="2" max="2" width="21" customWidth="1"/>
    <col min="3" max="3" width="15.6640625" customWidth="1"/>
    <col min="4" max="4" width="14.44140625" bestFit="1" customWidth="1"/>
    <col min="5" max="5" width="15.6640625" customWidth="1"/>
    <col min="6" max="6" width="14.44140625" bestFit="1" customWidth="1"/>
    <col min="9" max="9" width="12" customWidth="1"/>
    <col min="10" max="11" width="14.6640625" customWidth="1"/>
    <col min="12" max="12" width="12.44140625" customWidth="1"/>
    <col min="13" max="14" width="13.109375" customWidth="1"/>
    <col min="15" max="15" width="12.6640625" customWidth="1"/>
  </cols>
  <sheetData>
    <row r="3" spans="1:10" ht="14.4" x14ac:dyDescent="0.3">
      <c r="A3" s="634" t="s">
        <v>89</v>
      </c>
      <c r="B3" s="634"/>
      <c r="C3" s="634"/>
      <c r="D3" s="634"/>
      <c r="E3" s="634"/>
    </row>
    <row r="4" spans="1:10" ht="28.8" x14ac:dyDescent="0.3">
      <c r="A4" s="108"/>
      <c r="B4" s="211" t="s">
        <v>242</v>
      </c>
      <c r="C4" s="212" t="s">
        <v>243</v>
      </c>
      <c r="D4" s="211" t="s">
        <v>92</v>
      </c>
      <c r="E4" s="213" t="s">
        <v>93</v>
      </c>
    </row>
    <row r="5" spans="1:10" ht="14.4" x14ac:dyDescent="0.3">
      <c r="A5" s="214" t="s">
        <v>244</v>
      </c>
      <c r="B5" s="115" t="s">
        <v>245</v>
      </c>
      <c r="C5" s="115"/>
      <c r="D5" s="115">
        <v>2149.42</v>
      </c>
      <c r="E5" s="116">
        <v>3021.47</v>
      </c>
    </row>
    <row r="6" spans="1:10" ht="14.25" customHeight="1" x14ac:dyDescent="0.3">
      <c r="A6" s="214" t="s">
        <v>246</v>
      </c>
      <c r="B6" s="115" t="s">
        <v>245</v>
      </c>
      <c r="C6" s="115"/>
      <c r="D6" s="115">
        <v>29.05</v>
      </c>
      <c r="E6" s="116">
        <v>29.05</v>
      </c>
      <c r="H6" s="635" t="s">
        <v>247</v>
      </c>
      <c r="I6" s="636">
        <f>+AVERAGE('DATA E-COSTOS'!F77,'DATA E-COSTOS'!F84)*J7</f>
        <v>179510.09497699913</v>
      </c>
    </row>
    <row r="7" spans="1:10" ht="14.25" customHeight="1" x14ac:dyDescent="0.3">
      <c r="A7" s="214" t="s">
        <v>248</v>
      </c>
      <c r="B7" s="115" t="s">
        <v>245</v>
      </c>
      <c r="C7" s="115"/>
      <c r="D7" s="115">
        <v>2178.48</v>
      </c>
      <c r="E7" s="116">
        <v>3021.47</v>
      </c>
      <c r="H7" s="635"/>
      <c r="I7" s="636"/>
      <c r="J7">
        <v>1</v>
      </c>
    </row>
    <row r="8" spans="1:10" ht="14.25" customHeight="1" x14ac:dyDescent="0.3">
      <c r="A8" s="214" t="s">
        <v>249</v>
      </c>
      <c r="B8" s="115" t="s">
        <v>250</v>
      </c>
      <c r="C8" s="115"/>
      <c r="D8" s="115">
        <v>136.62</v>
      </c>
      <c r="E8" s="116">
        <v>60.51</v>
      </c>
      <c r="H8" s="635"/>
      <c r="I8" s="636"/>
    </row>
    <row r="9" spans="1:10" ht="14.4" x14ac:dyDescent="0.3">
      <c r="A9" s="214" t="s">
        <v>251</v>
      </c>
      <c r="B9" s="115" t="s">
        <v>250</v>
      </c>
      <c r="C9" s="115"/>
      <c r="D9" s="115">
        <v>60.51</v>
      </c>
      <c r="E9" s="116">
        <v>60.51</v>
      </c>
    </row>
    <row r="10" spans="1:10" ht="14.4" x14ac:dyDescent="0.3">
      <c r="A10" s="214" t="s">
        <v>252</v>
      </c>
      <c r="B10" s="115" t="s">
        <v>250</v>
      </c>
      <c r="C10" s="115"/>
      <c r="D10" s="115">
        <v>2330.5700000000002</v>
      </c>
      <c r="E10" s="116">
        <v>3081.98</v>
      </c>
    </row>
    <row r="11" spans="1:10" ht="14.4" x14ac:dyDescent="0.3">
      <c r="A11" s="214" t="s">
        <v>253</v>
      </c>
      <c r="B11" s="115" t="s">
        <v>250</v>
      </c>
      <c r="C11" s="115">
        <v>342.63</v>
      </c>
      <c r="D11" s="115">
        <v>356.22</v>
      </c>
      <c r="E11" s="116">
        <v>356.22</v>
      </c>
    </row>
    <row r="12" spans="1:10" ht="14.4" x14ac:dyDescent="0.3">
      <c r="A12" s="215" t="s">
        <v>254</v>
      </c>
      <c r="B12" s="1" t="s">
        <v>250</v>
      </c>
      <c r="C12" s="1">
        <v>342.63</v>
      </c>
      <c r="D12" s="1">
        <v>2344.15</v>
      </c>
      <c r="E12" s="118">
        <v>3081.98</v>
      </c>
    </row>
    <row r="15" spans="1:10" ht="21" x14ac:dyDescent="0.4">
      <c r="A15" s="6"/>
      <c r="B15" s="6"/>
      <c r="C15" s="6"/>
      <c r="D15" s="6"/>
    </row>
    <row r="16" spans="1:10" ht="21" x14ac:dyDescent="0.4">
      <c r="A16" s="6"/>
      <c r="B16" s="629"/>
      <c r="C16" s="629"/>
      <c r="D16" s="630" t="s">
        <v>43</v>
      </c>
      <c r="E16" s="630"/>
      <c r="F16" s="5"/>
    </row>
    <row r="17" spans="1:9" x14ac:dyDescent="0.25">
      <c r="B17" s="59"/>
      <c r="C17" s="60"/>
      <c r="D17" s="61" t="s">
        <v>44</v>
      </c>
      <c r="E17" s="62" t="s">
        <v>45</v>
      </c>
      <c r="F17" s="63" t="s">
        <v>46</v>
      </c>
      <c r="G17" t="s">
        <v>47</v>
      </c>
    </row>
    <row r="18" spans="1:9" ht="13.5" customHeight="1" x14ac:dyDescent="0.25">
      <c r="A18" s="621" t="s">
        <v>48</v>
      </c>
      <c r="B18" s="631" t="s">
        <v>49</v>
      </c>
      <c r="C18" s="631"/>
      <c r="D18" s="64">
        <f>3900/1.21</f>
        <v>3223.1404958677685</v>
      </c>
      <c r="E18" s="65">
        <f t="shared" ref="E18:E23" si="0">+D18*0.21</f>
        <v>676.85950413223134</v>
      </c>
      <c r="F18" s="24">
        <f t="shared" ref="F18:F23" si="1">+D18+E18</f>
        <v>3900</v>
      </c>
      <c r="G18" s="66" t="s">
        <v>50</v>
      </c>
    </row>
    <row r="19" spans="1:9" x14ac:dyDescent="0.25">
      <c r="A19" s="621"/>
      <c r="B19" s="632" t="s">
        <v>51</v>
      </c>
      <c r="C19" s="632"/>
      <c r="D19" s="67">
        <f>2850*5/1.21</f>
        <v>11776.859504132231</v>
      </c>
      <c r="E19" s="68">
        <f t="shared" si="0"/>
        <v>2473.1404958677685</v>
      </c>
      <c r="F19" s="27">
        <f t="shared" si="1"/>
        <v>14250</v>
      </c>
      <c r="G19" s="66" t="s">
        <v>52</v>
      </c>
    </row>
    <row r="20" spans="1:9" x14ac:dyDescent="0.25">
      <c r="A20" s="621"/>
      <c r="B20" s="632" t="s">
        <v>53</v>
      </c>
      <c r="C20" s="632"/>
      <c r="D20" s="67">
        <f>13057/1.21</f>
        <v>10790.909090909092</v>
      </c>
      <c r="E20" s="68">
        <f t="shared" si="0"/>
        <v>2266.090909090909</v>
      </c>
      <c r="F20" s="27">
        <f t="shared" si="1"/>
        <v>13057</v>
      </c>
      <c r="G20" s="66" t="s">
        <v>54</v>
      </c>
    </row>
    <row r="21" spans="1:9" x14ac:dyDescent="0.25">
      <c r="A21" s="621"/>
      <c r="B21" s="632" t="s">
        <v>55</v>
      </c>
      <c r="C21" s="632"/>
      <c r="D21" s="67">
        <f>1030/1.21</f>
        <v>851.23966942148763</v>
      </c>
      <c r="E21" s="68">
        <f t="shared" si="0"/>
        <v>178.7603305785124</v>
      </c>
      <c r="F21" s="27">
        <f t="shared" si="1"/>
        <v>1030</v>
      </c>
      <c r="G21" s="66" t="s">
        <v>56</v>
      </c>
    </row>
    <row r="22" spans="1:9" x14ac:dyDescent="0.25">
      <c r="A22" s="621"/>
      <c r="B22" s="632" t="s">
        <v>57</v>
      </c>
      <c r="C22" s="632"/>
      <c r="D22" s="67">
        <f>3.7*InfoInicial!B33</f>
        <v>559.625</v>
      </c>
      <c r="E22" s="68">
        <f t="shared" si="0"/>
        <v>117.52124999999999</v>
      </c>
      <c r="F22" s="27">
        <f t="shared" si="1"/>
        <v>677.14625000000001</v>
      </c>
      <c r="G22" s="66" t="s">
        <v>58</v>
      </c>
    </row>
    <row r="23" spans="1:9" x14ac:dyDescent="0.25">
      <c r="A23" s="621"/>
      <c r="B23" s="633" t="s">
        <v>59</v>
      </c>
      <c r="C23" s="633"/>
      <c r="D23" s="69">
        <f>150/1.21</f>
        <v>123.96694214876034</v>
      </c>
      <c r="E23" s="70">
        <f t="shared" si="0"/>
        <v>26.033057851239668</v>
      </c>
      <c r="F23" s="34">
        <f t="shared" si="1"/>
        <v>150</v>
      </c>
    </row>
    <row r="29" spans="1:9" ht="18" customHeight="1" x14ac:dyDescent="0.3">
      <c r="A29" s="20" t="s">
        <v>255</v>
      </c>
      <c r="B29" s="20"/>
      <c r="C29" s="20"/>
      <c r="D29" s="20"/>
      <c r="E29" s="20"/>
      <c r="F29" s="178"/>
      <c r="G29" s="178"/>
      <c r="H29" s="178"/>
      <c r="I29" s="178"/>
    </row>
    <row r="30" spans="1:9" ht="13.8" x14ac:dyDescent="0.3">
      <c r="A30" s="178"/>
      <c r="B30" s="178"/>
      <c r="C30" s="178"/>
      <c r="D30" s="178"/>
      <c r="E30" s="178"/>
      <c r="F30" s="178"/>
      <c r="G30" s="178"/>
      <c r="H30" s="178"/>
      <c r="I30" s="178"/>
    </row>
    <row r="31" spans="1:9" ht="13.8" x14ac:dyDescent="0.3">
      <c r="A31" s="216" t="s">
        <v>256</v>
      </c>
      <c r="B31" s="174"/>
      <c r="C31" s="174"/>
      <c r="D31" s="217">
        <v>0.02</v>
      </c>
      <c r="E31" s="218" t="s">
        <v>257</v>
      </c>
      <c r="F31" s="178"/>
      <c r="G31" s="178"/>
      <c r="H31" s="178"/>
      <c r="I31" s="178"/>
    </row>
    <row r="32" spans="1:9" ht="13.8" x14ac:dyDescent="0.3">
      <c r="A32" s="219" t="s">
        <v>258</v>
      </c>
      <c r="B32" s="178"/>
      <c r="C32" s="178" t="s">
        <v>259</v>
      </c>
      <c r="D32" s="171">
        <v>0.2</v>
      </c>
      <c r="E32" s="220" t="s">
        <v>260</v>
      </c>
      <c r="F32" s="178"/>
      <c r="G32" s="178"/>
      <c r="H32" s="178"/>
      <c r="I32" s="178"/>
    </row>
    <row r="33" spans="1:9" ht="13.8" x14ac:dyDescent="0.3">
      <c r="A33" s="221" t="s">
        <v>261</v>
      </c>
      <c r="B33" s="222">
        <f>30*B34</f>
        <v>30</v>
      </c>
      <c r="C33" s="222" t="s">
        <v>262</v>
      </c>
      <c r="D33" s="222" t="s">
        <v>258</v>
      </c>
      <c r="E33" s="223" t="s">
        <v>258</v>
      </c>
      <c r="F33" s="178"/>
      <c r="G33" s="178"/>
      <c r="H33" s="178"/>
      <c r="I33" s="178"/>
    </row>
    <row r="34" spans="1:9" ht="13.8" x14ac:dyDescent="0.3">
      <c r="A34" s="178"/>
      <c r="B34" s="178">
        <v>1</v>
      </c>
      <c r="C34" s="178"/>
      <c r="D34" s="178"/>
      <c r="E34" s="178"/>
      <c r="F34" s="178"/>
      <c r="G34" s="178"/>
      <c r="H34" s="178"/>
      <c r="I34" s="178"/>
    </row>
    <row r="35" spans="1:9" ht="13.8" x14ac:dyDescent="0.3">
      <c r="A35" s="178"/>
      <c r="B35" s="178"/>
      <c r="C35" s="178"/>
      <c r="D35" s="178"/>
      <c r="E35" s="178"/>
      <c r="F35" s="178"/>
      <c r="G35" s="178"/>
      <c r="H35" s="178"/>
      <c r="I35" s="178"/>
    </row>
    <row r="36" spans="1:9" ht="13.8" x14ac:dyDescent="0.3">
      <c r="A36" s="178"/>
      <c r="B36" s="178"/>
      <c r="C36" s="178"/>
      <c r="D36" s="178"/>
      <c r="E36" s="178"/>
      <c r="F36" s="178"/>
      <c r="G36" s="178"/>
      <c r="H36" s="178"/>
      <c r="I36" s="178"/>
    </row>
    <row r="37" spans="1:9" ht="13.8" x14ac:dyDescent="0.3">
      <c r="A37" s="178"/>
      <c r="B37" s="178"/>
      <c r="C37" s="178"/>
      <c r="D37" s="178"/>
      <c r="E37" s="178"/>
      <c r="F37" s="178"/>
      <c r="G37" s="178"/>
      <c r="H37" s="178"/>
      <c r="I37" s="178"/>
    </row>
    <row r="38" spans="1:9" ht="13.8" x14ac:dyDescent="0.3">
      <c r="A38" s="20" t="s">
        <v>263</v>
      </c>
      <c r="B38" s="20"/>
      <c r="C38" s="20"/>
      <c r="D38" s="20"/>
      <c r="E38" s="178"/>
      <c r="F38" s="178"/>
      <c r="G38" s="178"/>
      <c r="H38" s="178"/>
      <c r="I38" s="178"/>
    </row>
    <row r="39" spans="1:9" ht="13.8" x14ac:dyDescent="0.3">
      <c r="A39" s="178"/>
      <c r="B39" s="178"/>
      <c r="C39" s="178"/>
      <c r="D39" s="178"/>
      <c r="E39" s="178"/>
      <c r="F39" s="178"/>
      <c r="G39" s="178"/>
      <c r="H39" s="178"/>
      <c r="I39" s="178"/>
    </row>
    <row r="40" spans="1:9" ht="13.8" x14ac:dyDescent="0.3">
      <c r="A40" s="178" t="s">
        <v>263</v>
      </c>
      <c r="B40" s="178"/>
      <c r="C40" s="178" t="s">
        <v>264</v>
      </c>
      <c r="D40" s="178"/>
      <c r="E40" s="178"/>
      <c r="F40" s="178"/>
      <c r="G40" s="178"/>
      <c r="H40" s="178"/>
      <c r="I40" s="178"/>
    </row>
    <row r="41" spans="1:9" ht="13.8" x14ac:dyDescent="0.3">
      <c r="A41" s="224" t="s">
        <v>265</v>
      </c>
      <c r="B41" s="225">
        <v>6</v>
      </c>
      <c r="C41" s="178" t="s">
        <v>266</v>
      </c>
      <c r="D41" s="178"/>
      <c r="E41" s="178"/>
      <c r="F41" s="178"/>
      <c r="G41" s="178"/>
      <c r="H41" s="178"/>
      <c r="I41" s="178"/>
    </row>
    <row r="42" spans="1:9" ht="13.8" x14ac:dyDescent="0.3">
      <c r="A42" s="226" t="s">
        <v>267</v>
      </c>
      <c r="B42" s="223">
        <v>1</v>
      </c>
      <c r="C42" s="178" t="s">
        <v>266</v>
      </c>
      <c r="D42" s="178"/>
      <c r="E42" s="178"/>
      <c r="F42" s="178"/>
      <c r="G42" s="178"/>
      <c r="H42" s="178"/>
      <c r="I42" s="178"/>
    </row>
    <row r="43" spans="1:9" ht="13.8" x14ac:dyDescent="0.3">
      <c r="A43" s="226" t="s">
        <v>268</v>
      </c>
      <c r="B43" s="223">
        <v>1</v>
      </c>
      <c r="C43" s="178" t="s">
        <v>269</v>
      </c>
      <c r="D43" s="178"/>
      <c r="E43" s="178"/>
      <c r="F43" s="178"/>
      <c r="G43" s="178"/>
      <c r="H43" s="178"/>
      <c r="I43" s="178"/>
    </row>
    <row r="44" spans="1:9" ht="13.8" x14ac:dyDescent="0.3">
      <c r="A44" s="178"/>
      <c r="B44" s="178"/>
      <c r="C44" s="178"/>
      <c r="D44" s="178"/>
      <c r="E44" s="178"/>
      <c r="F44" s="178"/>
      <c r="G44" s="178"/>
      <c r="H44" s="178"/>
      <c r="I44" s="178"/>
    </row>
    <row r="45" spans="1:9" ht="13.8" x14ac:dyDescent="0.3">
      <c r="A45" s="178"/>
      <c r="B45" s="178"/>
      <c r="C45" s="178"/>
      <c r="D45" s="178"/>
      <c r="E45" s="178"/>
      <c r="F45" s="178"/>
      <c r="G45" s="178"/>
      <c r="H45" s="178"/>
      <c r="I45" s="178"/>
    </row>
    <row r="46" spans="1:9" ht="13.8" x14ac:dyDescent="0.3">
      <c r="A46" s="178"/>
      <c r="B46" s="178"/>
      <c r="C46" s="178"/>
      <c r="D46" s="178"/>
      <c r="E46" s="178"/>
      <c r="F46" s="178"/>
      <c r="G46" s="178"/>
      <c r="H46" s="178"/>
      <c r="I46" s="178"/>
    </row>
    <row r="47" spans="1:9" ht="18" customHeight="1" x14ac:dyDescent="0.3">
      <c r="A47" s="20" t="s">
        <v>270</v>
      </c>
      <c r="B47" s="20"/>
      <c r="C47" s="20"/>
      <c r="D47" s="20"/>
      <c r="E47" s="178"/>
      <c r="F47" s="178"/>
      <c r="G47" s="178"/>
      <c r="H47" s="178"/>
      <c r="I47" s="178"/>
    </row>
    <row r="48" spans="1:9" ht="13.8" x14ac:dyDescent="0.3">
      <c r="A48" s="227" t="s">
        <v>258</v>
      </c>
      <c r="B48" s="227" t="s">
        <v>258</v>
      </c>
      <c r="C48" s="227" t="s">
        <v>258</v>
      </c>
      <c r="D48" s="227" t="s">
        <v>258</v>
      </c>
      <c r="E48" s="227" t="s">
        <v>258</v>
      </c>
      <c r="F48" s="227" t="s">
        <v>258</v>
      </c>
      <c r="G48" s="178"/>
      <c r="H48" s="178"/>
      <c r="I48" s="178"/>
    </row>
    <row r="49" spans="1:15" ht="13.8" x14ac:dyDescent="0.3">
      <c r="A49" s="20" t="s">
        <v>271</v>
      </c>
      <c r="B49" s="228"/>
      <c r="C49" s="227" t="s">
        <v>258</v>
      </c>
      <c r="D49" s="227" t="s">
        <v>258</v>
      </c>
      <c r="E49" s="227" t="s">
        <v>258</v>
      </c>
      <c r="F49" s="227" t="s">
        <v>258</v>
      </c>
      <c r="G49" s="178"/>
      <c r="H49" s="178"/>
      <c r="I49" s="178"/>
    </row>
    <row r="50" spans="1:15" ht="13.8" x14ac:dyDescent="0.3">
      <c r="A50" s="26" t="s">
        <v>258</v>
      </c>
      <c r="B50" s="20" t="s">
        <v>272</v>
      </c>
      <c r="C50" s="20" t="s">
        <v>273</v>
      </c>
      <c r="D50" s="20" t="s">
        <v>274</v>
      </c>
      <c r="E50" s="20" t="s">
        <v>275</v>
      </c>
      <c r="F50" s="20" t="s">
        <v>276</v>
      </c>
      <c r="G50" s="178"/>
      <c r="H50" s="178"/>
      <c r="I50" s="178"/>
      <c r="J50" s="20" t="s">
        <v>258</v>
      </c>
      <c r="K50" s="20" t="s">
        <v>272</v>
      </c>
      <c r="L50" s="20" t="s">
        <v>273</v>
      </c>
      <c r="M50" s="20" t="s">
        <v>274</v>
      </c>
      <c r="N50" s="20" t="s">
        <v>275</v>
      </c>
      <c r="O50" s="20" t="s">
        <v>276</v>
      </c>
    </row>
    <row r="51" spans="1:15" ht="13.8" x14ac:dyDescent="0.3">
      <c r="A51" s="26" t="s">
        <v>277</v>
      </c>
      <c r="B51" s="229">
        <f>+('E-Costos'!B7-'E-Costos'!B30-'E-Costos'!G30)*(InfoInicial!$B$3*('DATA E-InvAT'!$D$6/'DATA E-InvAT'!$D$7))</f>
        <v>1141652.6383632263</v>
      </c>
      <c r="C51" s="229">
        <f>+('E-Costos'!C7-'E-Costos'!C30)*(InfoInicial!$B$3*('DATA E-InvAT'!$D$6/'DATA E-InvAT'!$D$7))</f>
        <v>1552341.1298518321</v>
      </c>
      <c r="D51" s="229">
        <f>+('E-Costos'!D7-'E-Costos'!D30)*(InfoInicial!$B$3*('DATA E-InvAT'!$D$6/'DATA E-InvAT'!$D$7))</f>
        <v>1552341.1298518321</v>
      </c>
      <c r="E51" s="229">
        <f>+('E-Costos'!E7-'E-Costos'!E30)*(InfoInicial!$B$3*('DATA E-InvAT'!$D$6/'DATA E-InvAT'!$D$7))</f>
        <v>1552341.1298518321</v>
      </c>
      <c r="F51" s="229">
        <f>+('E-Costos'!F7-'E-Costos'!F30)*(InfoInicial!$B$3*('DATA E-InvAT'!$D$6/'DATA E-InvAT'!$D$7))</f>
        <v>1552341.1298518321</v>
      </c>
      <c r="G51" s="178"/>
      <c r="H51" s="178"/>
      <c r="I51" s="178"/>
      <c r="J51" s="20" t="s">
        <v>277</v>
      </c>
      <c r="K51" s="229">
        <f>+InfoInicial!$B$3*'E-Costos'!B30</f>
        <v>2331328.4914188744</v>
      </c>
      <c r="L51" s="229">
        <f>+InfoInicial!$B$3*'E-Costos'!C30</f>
        <v>2331328.4914188744</v>
      </c>
      <c r="M51" s="229">
        <f>+InfoInicial!$B$3*'E-Costos'!D30</f>
        <v>2331328.4914188744</v>
      </c>
      <c r="N51" s="229">
        <f>+InfoInicial!$B$3*'E-Costos'!E30</f>
        <v>2331328.4914188744</v>
      </c>
      <c r="O51" s="229">
        <f>+InfoInicial!$B$3*'E-Costos'!F30</f>
        <v>2331328.4914188744</v>
      </c>
    </row>
    <row r="52" spans="1:15" ht="13.8" x14ac:dyDescent="0.3">
      <c r="A52" s="29" t="s">
        <v>278</v>
      </c>
      <c r="B52" s="229">
        <f>+('E-Costos'!B12-'E-Costos'!B35-'E-Costos'!G35)*(InfoInicial!$B$3*('DATA E-InvAT'!$D$6/'DATA E-InvAT'!$D$7))</f>
        <v>27062.201173970741</v>
      </c>
      <c r="C52" s="229">
        <f>+('E-Costos'!C12-'E-Costos'!C35)*(InfoInicial!$B$3*('DATA E-InvAT'!$D$6/'DATA E-InvAT'!$D$7))</f>
        <v>37384.119619696452</v>
      </c>
      <c r="D52" s="229">
        <f>+('E-Costos'!D12-'E-Costos'!D35)*(InfoInicial!$B$3*('DATA E-InvAT'!$D$6/'DATA E-InvAT'!$D$7))</f>
        <v>33645.707657726809</v>
      </c>
      <c r="E52" s="229">
        <f>+('E-Costos'!E12-'E-Costos'!E35)*(InfoInicial!$B$3*('DATA E-InvAT'!$D$6/'DATA E-InvAT'!$D$7))</f>
        <v>37384.119619696452</v>
      </c>
      <c r="F52" s="229">
        <f>+('E-Costos'!F12-'E-Costos'!F35)*(InfoInicial!$B$3*('DATA E-InvAT'!$D$6/'DATA E-InvAT'!$D$7))</f>
        <v>37384.119619696452</v>
      </c>
      <c r="G52" s="178" t="s">
        <v>279</v>
      </c>
      <c r="H52" s="178"/>
      <c r="I52" s="178"/>
      <c r="J52" s="26" t="s">
        <v>278</v>
      </c>
      <c r="K52" s="229">
        <f>+InfoInicial!$B$3*'E-Costos'!B35</f>
        <v>11258.935352875629</v>
      </c>
      <c r="L52" s="229">
        <f>+InfoInicial!$B$3*'E-Costos'!C35</f>
        <v>11258.935352875629</v>
      </c>
      <c r="M52" s="229">
        <f>+InfoInicial!$B$3*'E-Costos'!D35</f>
        <v>10133.041817588066</v>
      </c>
      <c r="N52" s="229">
        <f>+InfoInicial!$B$3*'E-Costos'!E35</f>
        <v>11258.935352875629</v>
      </c>
      <c r="O52" s="229">
        <f>+InfoInicial!$B$3*'E-Costos'!F35</f>
        <v>11258.935352875629</v>
      </c>
    </row>
    <row r="53" spans="1:15" ht="13.8" x14ac:dyDescent="0.3">
      <c r="A53" s="20" t="s">
        <v>280</v>
      </c>
      <c r="B53" s="229">
        <f>+('E-Costos'!B36-'E-Costos'!G36)*(InfoInicial!$B$3*('DATA E-InvAT'!$D$6/'DATA E-InvAT'!$D$7))</f>
        <v>-2006.1201563813902</v>
      </c>
      <c r="C53" s="229">
        <f>+('E-Costos'!C36)*(InfoInicial!$B$3*('DATA E-InvAT'!$D$6/'DATA E-InvAT'!$D$7))</f>
        <v>35.356689130017834</v>
      </c>
      <c r="D53" s="229">
        <f>+('E-Costos'!D36)*(InfoInicial!$B$3*('DATA E-InvAT'!$D$6/'DATA E-InvAT'!$D$7))</f>
        <v>31.821020217016049</v>
      </c>
      <c r="E53" s="229">
        <f>+('E-Costos'!E36)*(InfoInicial!$B$3*('DATA E-InvAT'!$D$6/'DATA E-InvAT'!$D$7))</f>
        <v>35.356689130017834</v>
      </c>
      <c r="F53" s="229">
        <f>+('E-Costos'!F36)*(InfoInicial!$B$3*('DATA E-InvAT'!$D$6/'DATA E-InvAT'!$D$7))</f>
        <v>35.356689130017834</v>
      </c>
      <c r="G53" s="178"/>
      <c r="H53" s="178"/>
      <c r="I53" s="178"/>
      <c r="J53" s="26" t="s">
        <v>280</v>
      </c>
      <c r="K53" s="229">
        <f>+InfoInicial!$B$3*'E-Costos'!B36</f>
        <v>2659.3279191838064</v>
      </c>
      <c r="L53" s="229">
        <f>+InfoInicial!$B$3*'E-Costos'!C36</f>
        <v>2651.4230683635542</v>
      </c>
      <c r="M53" s="229">
        <f>+InfoInicial!$B$3*'E-Costos'!D36</f>
        <v>2386.2807615271986</v>
      </c>
      <c r="N53" s="229">
        <f>+InfoInicial!$B$3*'E-Costos'!E36</f>
        <v>2651.4230683635542</v>
      </c>
      <c r="O53" s="229">
        <f>+InfoInicial!$B$3*'E-Costos'!F36</f>
        <v>2651.4230683635542</v>
      </c>
    </row>
    <row r="54" spans="1:15" ht="13.8" x14ac:dyDescent="0.3">
      <c r="A54" s="26" t="s">
        <v>281</v>
      </c>
      <c r="B54" s="230"/>
      <c r="C54" s="230"/>
      <c r="D54" s="230"/>
      <c r="E54" s="230"/>
      <c r="F54" s="230"/>
      <c r="G54" s="178"/>
      <c r="H54" s="178"/>
      <c r="I54" s="178"/>
      <c r="J54" s="29" t="s">
        <v>281</v>
      </c>
      <c r="K54" s="230"/>
      <c r="L54" s="230"/>
      <c r="M54" s="230"/>
      <c r="N54" s="230"/>
      <c r="O54" s="230"/>
    </row>
    <row r="55" spans="1:15" ht="13.8" x14ac:dyDescent="0.3">
      <c r="A55" s="26" t="s">
        <v>199</v>
      </c>
      <c r="B55" s="231">
        <f>+SUM(B51:B54)</f>
        <v>1166708.7193808157</v>
      </c>
      <c r="C55" s="231">
        <f>+SUM(C51:C54)</f>
        <v>1589760.6061606584</v>
      </c>
      <c r="D55" s="231">
        <f>+SUM(D51:D54)</f>
        <v>1586018.6585297757</v>
      </c>
      <c r="E55" s="231">
        <f>+SUM(E51:E54)</f>
        <v>1589760.6061606584</v>
      </c>
      <c r="F55" s="231">
        <f>+SUM(F51:F54)</f>
        <v>1589760.6061606584</v>
      </c>
      <c r="G55" s="178"/>
      <c r="H55" s="178"/>
      <c r="I55" s="178"/>
      <c r="J55" s="20" t="s">
        <v>199</v>
      </c>
      <c r="K55" s="231">
        <f>+SUM(K51:K54)</f>
        <v>2345246.754690934</v>
      </c>
      <c r="L55" s="231">
        <f>+SUM(L51:L54)</f>
        <v>2345238.8498401139</v>
      </c>
      <c r="M55" s="231">
        <f>+SUM(M51:M54)</f>
        <v>2343847.81399799</v>
      </c>
      <c r="N55" s="231">
        <f>+SUM(N51:N54)</f>
        <v>2345238.8498401139</v>
      </c>
      <c r="O55" s="231">
        <f>+SUM(O51:O54)</f>
        <v>2345238.8498401139</v>
      </c>
    </row>
    <row r="56" spans="1:15" ht="13.8" x14ac:dyDescent="0.3">
      <c r="A56" s="29" t="s">
        <v>282</v>
      </c>
      <c r="B56" s="229">
        <f>+B55</f>
        <v>1166708.7193808157</v>
      </c>
      <c r="C56" s="229">
        <f>+C55-B55</f>
        <v>423051.88677984267</v>
      </c>
      <c r="D56" s="229">
        <f>+D55-C55</f>
        <v>-3741.9476308827288</v>
      </c>
      <c r="E56" s="229">
        <f>+E55-D55</f>
        <v>3741.9476308827288</v>
      </c>
      <c r="F56" s="229">
        <f>+F55-E55</f>
        <v>0</v>
      </c>
      <c r="G56" s="178"/>
      <c r="H56" s="178"/>
      <c r="I56" s="178"/>
      <c r="J56" s="26" t="s">
        <v>282</v>
      </c>
      <c r="K56" s="229">
        <f>+K55</f>
        <v>2345246.754690934</v>
      </c>
      <c r="L56" s="229">
        <f>+L55-K55</f>
        <v>-7.9048508200794458</v>
      </c>
      <c r="M56" s="229">
        <f>+M55-L55</f>
        <v>-1391.0358421239071</v>
      </c>
      <c r="N56" s="229">
        <f>+N55-M55</f>
        <v>1391.0358421239071</v>
      </c>
      <c r="O56" s="229">
        <f>+O55-N55</f>
        <v>0</v>
      </c>
    </row>
    <row r="57" spans="1:15" ht="13.8" x14ac:dyDescent="0.3">
      <c r="A57" s="178"/>
      <c r="B57" s="178"/>
      <c r="C57" s="178"/>
      <c r="D57" s="178"/>
      <c r="E57" s="178"/>
      <c r="F57" s="178"/>
      <c r="G57" s="178"/>
      <c r="H57" s="178"/>
      <c r="I57" s="178"/>
    </row>
    <row r="60" spans="1:15" ht="18" customHeight="1" x14ac:dyDescent="0.25">
      <c r="A60" s="20" t="s">
        <v>283</v>
      </c>
      <c r="B60" s="20"/>
      <c r="C60" s="20"/>
      <c r="D60" s="20"/>
    </row>
    <row r="61" spans="1:15" x14ac:dyDescent="0.25">
      <c r="A61" s="20"/>
    </row>
    <row r="62" spans="1:15" ht="13.8" x14ac:dyDescent="0.3">
      <c r="A62" s="26"/>
      <c r="B62" s="232" t="s">
        <v>92</v>
      </c>
      <c r="C62" s="232" t="s">
        <v>284</v>
      </c>
      <c r="D62" s="232" t="s">
        <v>285</v>
      </c>
      <c r="E62" s="232" t="s">
        <v>286</v>
      </c>
      <c r="F62" s="232" t="s">
        <v>287</v>
      </c>
    </row>
    <row r="63" spans="1:15" ht="13.8" x14ac:dyDescent="0.3">
      <c r="A63" s="26" t="s">
        <v>244</v>
      </c>
      <c r="B63" s="233" t="s">
        <v>288</v>
      </c>
      <c r="C63" s="233">
        <v>444270182.39999998</v>
      </c>
      <c r="D63" s="233">
        <v>444270182.39999998</v>
      </c>
      <c r="E63" s="233">
        <v>444270182.39999998</v>
      </c>
      <c r="F63" s="233">
        <v>444270182.39999998</v>
      </c>
    </row>
    <row r="64" spans="1:15" ht="13.8" x14ac:dyDescent="0.3">
      <c r="A64" s="29" t="s">
        <v>289</v>
      </c>
      <c r="B64" s="234">
        <v>5354496</v>
      </c>
      <c r="C64" s="234">
        <v>7649280</v>
      </c>
      <c r="D64" s="234">
        <v>7649280</v>
      </c>
      <c r="E64" s="234">
        <v>7649280</v>
      </c>
      <c r="F64" s="234">
        <v>7649280</v>
      </c>
    </row>
  </sheetData>
  <mergeCells count="12">
    <mergeCell ref="A3:E3"/>
    <mergeCell ref="H6:H8"/>
    <mergeCell ref="I6:I8"/>
    <mergeCell ref="B16:C16"/>
    <mergeCell ref="D16:E16"/>
    <mergeCell ref="A18:A23"/>
    <mergeCell ref="B18:C18"/>
    <mergeCell ref="B19:C19"/>
    <mergeCell ref="B20:C20"/>
    <mergeCell ref="B21:C21"/>
    <mergeCell ref="B22:C22"/>
    <mergeCell ref="B23:C23"/>
  </mergeCells>
  <hyperlinks>
    <hyperlink ref="G18" r:id="rId1" xr:uid="{00000000-0004-0000-0100-000000000000}"/>
    <hyperlink ref="G19" r:id="rId2" xr:uid="{00000000-0004-0000-0100-000001000000}"/>
    <hyperlink ref="G20" r:id="rId3" xr:uid="{00000000-0004-0000-0100-000002000000}"/>
    <hyperlink ref="G21" r:id="rId4" xr:uid="{00000000-0004-0000-0100-000003000000}"/>
    <hyperlink ref="G22" r:id="rId5" xr:uid="{00000000-0004-0000-0100-000004000000}"/>
  </hyperlinks>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9D18E"/>
  </sheetPr>
  <dimension ref="B3:J91"/>
  <sheetViews>
    <sheetView topLeftCell="A52" zoomScale="80" zoomScaleNormal="80" workbookViewId="0">
      <selection activeCell="H66" sqref="H66"/>
    </sheetView>
  </sheetViews>
  <sheetFormatPr baseColWidth="10" defaultColWidth="8.6640625" defaultRowHeight="13.2" x14ac:dyDescent="0.25"/>
  <cols>
    <col min="2" max="2" width="33.44140625" customWidth="1"/>
    <col min="3" max="3" width="31.44140625" style="151" customWidth="1"/>
    <col min="4" max="5" width="14.6640625" style="5" customWidth="1"/>
    <col min="6" max="6" width="13.6640625" style="5" customWidth="1"/>
    <col min="7" max="7" width="16.109375" style="5" customWidth="1"/>
    <col min="8" max="8" width="16.33203125" style="5" customWidth="1"/>
    <col min="9" max="9" width="14.109375" style="5" customWidth="1"/>
    <col min="10" max="10" width="255.6640625" customWidth="1"/>
  </cols>
  <sheetData>
    <row r="3" spans="2:10" x14ac:dyDescent="0.25">
      <c r="B3" s="144"/>
      <c r="C3" s="235"/>
      <c r="D3" s="207"/>
      <c r="E3" s="639" t="s">
        <v>43</v>
      </c>
      <c r="F3" s="639"/>
      <c r="G3" s="640" t="s">
        <v>290</v>
      </c>
      <c r="H3" s="640"/>
    </row>
    <row r="4" spans="2:10" ht="13.8" x14ac:dyDescent="0.25">
      <c r="B4" s="236" t="s">
        <v>291</v>
      </c>
      <c r="C4" s="237" t="s">
        <v>292</v>
      </c>
      <c r="D4" s="238" t="s">
        <v>293</v>
      </c>
      <c r="E4" s="239" t="s">
        <v>44</v>
      </c>
      <c r="F4" s="240" t="s">
        <v>45</v>
      </c>
      <c r="G4" s="239" t="s">
        <v>294</v>
      </c>
      <c r="H4" s="63" t="s">
        <v>295</v>
      </c>
      <c r="I4" s="63" t="s">
        <v>46</v>
      </c>
      <c r="J4" t="s">
        <v>47</v>
      </c>
    </row>
    <row r="5" spans="2:10" ht="13.5" customHeight="1" x14ac:dyDescent="0.25">
      <c r="B5" s="641" t="s">
        <v>296</v>
      </c>
      <c r="C5" s="241" t="s">
        <v>297</v>
      </c>
      <c r="D5" s="242">
        <v>8</v>
      </c>
      <c r="E5" s="243">
        <f>75900/1.21</f>
        <v>62727.272727272728</v>
      </c>
      <c r="F5" s="64">
        <f>0.21*E5</f>
        <v>13172.727272727272</v>
      </c>
      <c r="G5" s="64">
        <f>+E5*D5</f>
        <v>501818.18181818182</v>
      </c>
      <c r="H5" s="64">
        <f t="shared" ref="H5:H44" si="0">+D5*F5</f>
        <v>105381.81818181818</v>
      </c>
      <c r="I5" s="65">
        <f t="shared" ref="I5:I44" si="1">+G5+H5</f>
        <v>607200</v>
      </c>
      <c r="J5" s="66" t="s">
        <v>298</v>
      </c>
    </row>
    <row r="6" spans="2:10" ht="13.8" x14ac:dyDescent="0.25">
      <c r="B6" s="641"/>
      <c r="C6" s="244" t="s">
        <v>299</v>
      </c>
      <c r="D6" s="245">
        <v>30</v>
      </c>
      <c r="E6" s="246">
        <f>47600/1.21</f>
        <v>39338.842975206615</v>
      </c>
      <c r="F6" s="67">
        <f>+E6*0.21</f>
        <v>8261.1570247933887</v>
      </c>
      <c r="G6" s="67">
        <f>+D6*E6</f>
        <v>1180165.2892561983</v>
      </c>
      <c r="H6" s="67">
        <f t="shared" si="0"/>
        <v>247834.71074380167</v>
      </c>
      <c r="I6" s="68">
        <f t="shared" si="1"/>
        <v>1428000</v>
      </c>
    </row>
    <row r="7" spans="2:10" ht="13.8" x14ac:dyDescent="0.25">
      <c r="B7" s="641"/>
      <c r="C7" s="244" t="s">
        <v>300</v>
      </c>
      <c r="D7" s="245">
        <v>15</v>
      </c>
      <c r="E7" s="246">
        <f>+(14000+10000)/1.21</f>
        <v>19834.710743801654</v>
      </c>
      <c r="F7" s="67">
        <f>0.21*E7</f>
        <v>4165.2892561983472</v>
      </c>
      <c r="G7" s="67">
        <f>+E7*D7</f>
        <v>297520.66115702479</v>
      </c>
      <c r="H7" s="67">
        <f t="shared" si="0"/>
        <v>62479.338842975209</v>
      </c>
      <c r="I7" s="68">
        <f t="shared" si="1"/>
        <v>360000</v>
      </c>
      <c r="J7" s="66" t="s">
        <v>301</v>
      </c>
    </row>
    <row r="8" spans="2:10" ht="13.8" x14ac:dyDescent="0.25">
      <c r="B8" s="641"/>
      <c r="C8" s="244" t="s">
        <v>302</v>
      </c>
      <c r="D8" s="245">
        <v>50</v>
      </c>
      <c r="E8" s="246">
        <f>+(700+500+1000)/1.21</f>
        <v>1818.1818181818182</v>
      </c>
      <c r="F8" s="67">
        <f>0.21*E8</f>
        <v>381.81818181818181</v>
      </c>
      <c r="G8" s="67">
        <f>+E8*D8</f>
        <v>90909.090909090912</v>
      </c>
      <c r="H8" s="67">
        <f t="shared" si="0"/>
        <v>19090.909090909092</v>
      </c>
      <c r="I8" s="68">
        <f t="shared" si="1"/>
        <v>110000</v>
      </c>
      <c r="J8" s="66"/>
    </row>
    <row r="9" spans="2:10" ht="13.8" x14ac:dyDescent="0.25">
      <c r="B9" s="641"/>
      <c r="C9" s="247" t="s">
        <v>303</v>
      </c>
      <c r="D9" s="248">
        <v>56</v>
      </c>
      <c r="E9" s="249"/>
      <c r="F9" s="250"/>
      <c r="G9" s="250"/>
      <c r="H9" s="250">
        <f t="shared" si="0"/>
        <v>0</v>
      </c>
      <c r="I9" s="251">
        <f t="shared" si="1"/>
        <v>0</v>
      </c>
    </row>
    <row r="10" spans="2:10" ht="13.8" x14ac:dyDescent="0.25">
      <c r="B10" s="641"/>
      <c r="C10" s="244" t="s">
        <v>304</v>
      </c>
      <c r="D10" s="245">
        <v>2</v>
      </c>
      <c r="E10" s="246">
        <v>72082.649999999994</v>
      </c>
      <c r="F10" s="67">
        <f>+E10*0.21</f>
        <v>15137.356499999998</v>
      </c>
      <c r="G10" s="67">
        <f>+E10*D10</f>
        <v>144165.29999999999</v>
      </c>
      <c r="H10" s="67">
        <f t="shared" si="0"/>
        <v>30274.712999999996</v>
      </c>
      <c r="I10" s="68">
        <f t="shared" si="1"/>
        <v>174440.01299999998</v>
      </c>
      <c r="J10" s="66" t="s">
        <v>305</v>
      </c>
    </row>
    <row r="11" spans="2:10" ht="13.8" x14ac:dyDescent="0.25">
      <c r="B11" s="641"/>
      <c r="C11" s="244" t="s">
        <v>306</v>
      </c>
      <c r="D11" s="245">
        <v>4</v>
      </c>
      <c r="E11" s="246">
        <v>30000</v>
      </c>
      <c r="F11" s="67">
        <f>+E11*0.21</f>
        <v>6300</v>
      </c>
      <c r="G11" s="67">
        <f>+D11*E11</f>
        <v>120000</v>
      </c>
      <c r="H11" s="67">
        <f t="shared" si="0"/>
        <v>25200</v>
      </c>
      <c r="I11" s="68">
        <f t="shared" si="1"/>
        <v>145200</v>
      </c>
      <c r="J11" s="66" t="s">
        <v>307</v>
      </c>
    </row>
    <row r="12" spans="2:10" ht="27.6" x14ac:dyDescent="0.25">
      <c r="B12" s="641"/>
      <c r="C12" s="244" t="s">
        <v>308</v>
      </c>
      <c r="D12" s="245">
        <v>2</v>
      </c>
      <c r="E12" s="246">
        <v>28858.76</v>
      </c>
      <c r="F12" s="67">
        <f>+E12*0.21</f>
        <v>6060.3395999999993</v>
      </c>
      <c r="G12" s="67">
        <f>+E12*D12</f>
        <v>57717.52</v>
      </c>
      <c r="H12" s="67">
        <f t="shared" si="0"/>
        <v>12120.679199999999</v>
      </c>
      <c r="I12" s="68">
        <f t="shared" si="1"/>
        <v>69838.199200000003</v>
      </c>
      <c r="J12" s="66" t="s">
        <v>309</v>
      </c>
    </row>
    <row r="13" spans="2:10" ht="13.8" x14ac:dyDescent="0.25">
      <c r="B13" s="641"/>
      <c r="C13" s="244" t="s">
        <v>310</v>
      </c>
      <c r="D13" s="245">
        <v>2</v>
      </c>
      <c r="E13" s="246">
        <v>1371.9</v>
      </c>
      <c r="F13" s="67">
        <f>+E13*0.21</f>
        <v>288.09899999999999</v>
      </c>
      <c r="G13" s="67">
        <f>+E13*D13</f>
        <v>2743.8</v>
      </c>
      <c r="H13" s="67">
        <f t="shared" si="0"/>
        <v>576.19799999999998</v>
      </c>
      <c r="I13" s="68">
        <f t="shared" si="1"/>
        <v>3319.998</v>
      </c>
      <c r="J13" s="66" t="s">
        <v>311</v>
      </c>
    </row>
    <row r="14" spans="2:10" ht="13.8" x14ac:dyDescent="0.25">
      <c r="B14" s="641"/>
      <c r="C14" s="244" t="s">
        <v>312</v>
      </c>
      <c r="D14" s="245">
        <v>1</v>
      </c>
      <c r="E14" s="246">
        <v>1121115.7</v>
      </c>
      <c r="F14" s="67">
        <f>+E14*0.21</f>
        <v>235434.29699999999</v>
      </c>
      <c r="G14" s="67">
        <f>+E14*D14</f>
        <v>1121115.7</v>
      </c>
      <c r="H14" s="67">
        <f t="shared" si="0"/>
        <v>235434.29699999999</v>
      </c>
      <c r="I14" s="68">
        <f t="shared" si="1"/>
        <v>1356549.997</v>
      </c>
      <c r="J14" s="66" t="s">
        <v>313</v>
      </c>
    </row>
    <row r="15" spans="2:10" ht="13.8" x14ac:dyDescent="0.25">
      <c r="B15" s="641"/>
      <c r="C15" s="244" t="s">
        <v>314</v>
      </c>
      <c r="D15" s="245">
        <v>1</v>
      </c>
      <c r="E15" s="246">
        <f>+E19</f>
        <v>219234.71074380167</v>
      </c>
      <c r="F15" s="67">
        <f>+F19</f>
        <v>46039.289256198346</v>
      </c>
      <c r="G15" s="67">
        <f>+G19</f>
        <v>1315408.26446281</v>
      </c>
      <c r="H15" s="67">
        <f t="shared" si="0"/>
        <v>46039.289256198346</v>
      </c>
      <c r="I15" s="68">
        <f t="shared" si="1"/>
        <v>1361447.5537190083</v>
      </c>
    </row>
    <row r="16" spans="2:10" ht="13.8" x14ac:dyDescent="0.25">
      <c r="B16" s="641"/>
      <c r="C16" s="244" t="s">
        <v>315</v>
      </c>
      <c r="D16" s="245">
        <v>1</v>
      </c>
      <c r="E16" s="246">
        <v>185395.04</v>
      </c>
      <c r="F16" s="67">
        <f>+E16*0.21</f>
        <v>38932.958400000003</v>
      </c>
      <c r="G16" s="67">
        <f>+E16*D16</f>
        <v>185395.04</v>
      </c>
      <c r="H16" s="67">
        <f t="shared" si="0"/>
        <v>38932.958400000003</v>
      </c>
      <c r="I16" s="68">
        <f t="shared" si="1"/>
        <v>224327.99840000001</v>
      </c>
    </row>
    <row r="17" spans="2:10" ht="13.8" x14ac:dyDescent="0.25">
      <c r="B17" s="641"/>
      <c r="C17" s="244" t="s">
        <v>316</v>
      </c>
      <c r="D17" s="245">
        <v>5</v>
      </c>
      <c r="E17" s="246">
        <f>+E22</f>
        <v>4545.454545454546</v>
      </c>
      <c r="F17" s="67">
        <f>+F22</f>
        <v>954.54545454545462</v>
      </c>
      <c r="G17" s="67">
        <f>+G22</f>
        <v>27272.727272727276</v>
      </c>
      <c r="H17" s="67">
        <f t="shared" si="0"/>
        <v>4772.727272727273</v>
      </c>
      <c r="I17" s="68">
        <f t="shared" si="1"/>
        <v>32045.454545454548</v>
      </c>
    </row>
    <row r="18" spans="2:10" ht="13.8" x14ac:dyDescent="0.25">
      <c r="B18" s="641"/>
      <c r="C18" s="252" t="s">
        <v>317</v>
      </c>
      <c r="D18" s="253">
        <v>4</v>
      </c>
      <c r="E18" s="254">
        <f>+E42</f>
        <v>136777.68595041323</v>
      </c>
      <c r="F18" s="69">
        <f>+F42</f>
        <v>28723.314049586777</v>
      </c>
      <c r="G18" s="69">
        <f>+G42</f>
        <v>273555.37190082646</v>
      </c>
      <c r="H18" s="69">
        <f t="shared" si="0"/>
        <v>114893.25619834711</v>
      </c>
      <c r="I18" s="70">
        <f t="shared" si="1"/>
        <v>388448.62809917354</v>
      </c>
      <c r="J18" s="66" t="s">
        <v>318</v>
      </c>
    </row>
    <row r="19" spans="2:10" ht="13.5" customHeight="1" x14ac:dyDescent="0.25">
      <c r="B19" s="637" t="s">
        <v>319</v>
      </c>
      <c r="C19" s="255" t="s">
        <v>314</v>
      </c>
      <c r="D19" s="256">
        <v>6</v>
      </c>
      <c r="E19" s="246">
        <f>265274/1.21</f>
        <v>219234.71074380167</v>
      </c>
      <c r="F19" s="67">
        <f t="shared" ref="F19:F44" si="2">0.21*E19</f>
        <v>46039.289256198346</v>
      </c>
      <c r="G19" s="246">
        <f t="shared" ref="G19:G44" si="3">+E19*D19</f>
        <v>1315408.26446281</v>
      </c>
      <c r="H19" s="68">
        <f t="shared" si="0"/>
        <v>276235.73553719011</v>
      </c>
      <c r="I19" s="68">
        <f t="shared" si="1"/>
        <v>1591644</v>
      </c>
      <c r="J19" s="66" t="s">
        <v>320</v>
      </c>
    </row>
    <row r="20" spans="2:10" ht="13.8" x14ac:dyDescent="0.25">
      <c r="B20" s="637"/>
      <c r="C20" s="244" t="s">
        <v>321</v>
      </c>
      <c r="D20" s="245">
        <v>10</v>
      </c>
      <c r="E20" s="246">
        <f>78800/1.21</f>
        <v>65123.966942148763</v>
      </c>
      <c r="F20" s="67">
        <f t="shared" si="2"/>
        <v>13676.03305785124</v>
      </c>
      <c r="G20" s="246">
        <f t="shared" si="3"/>
        <v>651239.6694214876</v>
      </c>
      <c r="H20" s="68">
        <f t="shared" si="0"/>
        <v>136760.3305785124</v>
      </c>
      <c r="I20" s="68">
        <f t="shared" si="1"/>
        <v>788000</v>
      </c>
      <c r="J20" s="66" t="s">
        <v>322</v>
      </c>
    </row>
    <row r="21" spans="2:10" ht="13.8" x14ac:dyDescent="0.25">
      <c r="B21" s="637"/>
      <c r="C21" s="244" t="s">
        <v>323</v>
      </c>
      <c r="D21" s="245">
        <v>10</v>
      </c>
      <c r="E21" s="246">
        <f>35327/1.21</f>
        <v>29195.867768595042</v>
      </c>
      <c r="F21" s="67">
        <f t="shared" si="2"/>
        <v>6131.1322314049585</v>
      </c>
      <c r="G21" s="246">
        <f t="shared" si="3"/>
        <v>291958.67768595042</v>
      </c>
      <c r="H21" s="68">
        <f t="shared" si="0"/>
        <v>61311.322314049583</v>
      </c>
      <c r="I21" s="68">
        <f t="shared" si="1"/>
        <v>353270</v>
      </c>
      <c r="J21" s="66" t="s">
        <v>324</v>
      </c>
    </row>
    <row r="22" spans="2:10" ht="13.8" x14ac:dyDescent="0.25">
      <c r="B22" s="637"/>
      <c r="C22" s="244" t="s">
        <v>316</v>
      </c>
      <c r="D22" s="245">
        <v>6</v>
      </c>
      <c r="E22" s="246">
        <f>5500/1.21</f>
        <v>4545.454545454546</v>
      </c>
      <c r="F22" s="67">
        <f t="shared" si="2"/>
        <v>954.54545454545462</v>
      </c>
      <c r="G22" s="246">
        <f t="shared" si="3"/>
        <v>27272.727272727276</v>
      </c>
      <c r="H22" s="68">
        <f t="shared" si="0"/>
        <v>5727.2727272727279</v>
      </c>
      <c r="I22" s="68">
        <f t="shared" si="1"/>
        <v>33000</v>
      </c>
      <c r="J22" s="66" t="s">
        <v>325</v>
      </c>
    </row>
    <row r="23" spans="2:10" ht="13.8" x14ac:dyDescent="0.25">
      <c r="B23" s="637"/>
      <c r="C23" s="244" t="s">
        <v>306</v>
      </c>
      <c r="D23" s="245">
        <v>2</v>
      </c>
      <c r="E23" s="246">
        <f>40399/1.21</f>
        <v>33387.603305785124</v>
      </c>
      <c r="F23" s="67">
        <f t="shared" si="2"/>
        <v>7011.3966942148754</v>
      </c>
      <c r="G23" s="246">
        <f t="shared" si="3"/>
        <v>66775.206611570247</v>
      </c>
      <c r="H23" s="68">
        <f t="shared" si="0"/>
        <v>14022.793388429751</v>
      </c>
      <c r="I23" s="68">
        <f t="shared" si="1"/>
        <v>80798</v>
      </c>
      <c r="J23" s="66" t="s">
        <v>326</v>
      </c>
    </row>
    <row r="24" spans="2:10" ht="13.8" x14ac:dyDescent="0.25">
      <c r="B24" s="637"/>
      <c r="C24" s="244" t="s">
        <v>327</v>
      </c>
      <c r="D24" s="245">
        <v>2</v>
      </c>
      <c r="E24" s="246">
        <f>78795/1.21</f>
        <v>65119.834710743802</v>
      </c>
      <c r="F24" s="67">
        <f t="shared" si="2"/>
        <v>13675.165289256198</v>
      </c>
      <c r="G24" s="246">
        <f t="shared" si="3"/>
        <v>130239.6694214876</v>
      </c>
      <c r="H24" s="68">
        <f t="shared" si="0"/>
        <v>27350.330578512396</v>
      </c>
      <c r="I24" s="68">
        <f t="shared" si="1"/>
        <v>157590</v>
      </c>
      <c r="J24" s="66" t="s">
        <v>328</v>
      </c>
    </row>
    <row r="25" spans="2:10" ht="13.8" x14ac:dyDescent="0.25">
      <c r="B25" s="637"/>
      <c r="C25" s="244" t="s">
        <v>329</v>
      </c>
      <c r="D25" s="245">
        <v>4</v>
      </c>
      <c r="E25" s="246">
        <f>11179/1.21</f>
        <v>9238.8429752066113</v>
      </c>
      <c r="F25" s="67">
        <f t="shared" si="2"/>
        <v>1940.1570247933882</v>
      </c>
      <c r="G25" s="246">
        <f t="shared" si="3"/>
        <v>36955.371900826445</v>
      </c>
      <c r="H25" s="68">
        <f t="shared" si="0"/>
        <v>7760.628099173553</v>
      </c>
      <c r="I25" s="68">
        <f t="shared" si="1"/>
        <v>44716</v>
      </c>
      <c r="J25" s="66" t="s">
        <v>328</v>
      </c>
    </row>
    <row r="26" spans="2:10" ht="13.8" x14ac:dyDescent="0.25">
      <c r="B26" s="637"/>
      <c r="C26" s="244" t="s">
        <v>330</v>
      </c>
      <c r="D26" s="245">
        <v>2</v>
      </c>
      <c r="E26" s="246">
        <f>169100/1.21</f>
        <v>139752.06611570247</v>
      </c>
      <c r="F26" s="67">
        <f t="shared" si="2"/>
        <v>29347.933884297519</v>
      </c>
      <c r="G26" s="246">
        <f t="shared" si="3"/>
        <v>279504.13223140495</v>
      </c>
      <c r="H26" s="68">
        <f t="shared" si="0"/>
        <v>58695.867768595039</v>
      </c>
      <c r="I26" s="68">
        <f t="shared" si="1"/>
        <v>338200</v>
      </c>
      <c r="J26" s="66" t="s">
        <v>331</v>
      </c>
    </row>
    <row r="27" spans="2:10" ht="13.8" x14ac:dyDescent="0.25">
      <c r="B27" s="637"/>
      <c r="C27" s="244" t="s">
        <v>332</v>
      </c>
      <c r="D27" s="245">
        <v>4</v>
      </c>
      <c r="E27" s="246">
        <f>106259/1.21</f>
        <v>87817.355371900834</v>
      </c>
      <c r="F27" s="67">
        <f t="shared" si="2"/>
        <v>18441.644628099173</v>
      </c>
      <c r="G27" s="246">
        <f t="shared" si="3"/>
        <v>351269.42148760334</v>
      </c>
      <c r="H27" s="68">
        <f t="shared" si="0"/>
        <v>73766.578512396693</v>
      </c>
      <c r="I27" s="68">
        <f t="shared" si="1"/>
        <v>425036</v>
      </c>
      <c r="J27" s="66" t="s">
        <v>333</v>
      </c>
    </row>
    <row r="28" spans="2:10" ht="13.8" x14ac:dyDescent="0.25">
      <c r="B28" s="637"/>
      <c r="C28" s="244" t="s">
        <v>334</v>
      </c>
      <c r="D28" s="245">
        <v>2</v>
      </c>
      <c r="E28" s="246">
        <f>118922/1.21</f>
        <v>98282.64462809918</v>
      </c>
      <c r="F28" s="67">
        <f t="shared" si="2"/>
        <v>20639.355371900827</v>
      </c>
      <c r="G28" s="246">
        <f t="shared" si="3"/>
        <v>196565.28925619836</v>
      </c>
      <c r="H28" s="68">
        <f t="shared" si="0"/>
        <v>41278.710743801654</v>
      </c>
      <c r="I28" s="68">
        <f t="shared" si="1"/>
        <v>237844</v>
      </c>
      <c r="J28" s="66" t="s">
        <v>335</v>
      </c>
    </row>
    <row r="29" spans="2:10" ht="13.8" x14ac:dyDescent="0.25">
      <c r="B29" s="637"/>
      <c r="C29" s="244" t="s">
        <v>336</v>
      </c>
      <c r="D29" s="245">
        <v>1</v>
      </c>
      <c r="E29" s="246">
        <f>178999/1.21</f>
        <v>147933.05785123966</v>
      </c>
      <c r="F29" s="67">
        <f t="shared" si="2"/>
        <v>31065.942148760329</v>
      </c>
      <c r="G29" s="246">
        <f t="shared" si="3"/>
        <v>147933.05785123966</v>
      </c>
      <c r="H29" s="68">
        <f t="shared" si="0"/>
        <v>31065.942148760329</v>
      </c>
      <c r="I29" s="68">
        <f t="shared" si="1"/>
        <v>178999</v>
      </c>
      <c r="J29" s="66" t="s">
        <v>337</v>
      </c>
    </row>
    <row r="30" spans="2:10" ht="13.8" x14ac:dyDescent="0.25">
      <c r="B30" s="637"/>
      <c r="C30" s="244" t="s">
        <v>338</v>
      </c>
      <c r="D30" s="245">
        <v>2</v>
      </c>
      <c r="E30" s="246">
        <f>71818/1.21</f>
        <v>59353.719008264467</v>
      </c>
      <c r="F30" s="67">
        <f t="shared" si="2"/>
        <v>12464.280991735537</v>
      </c>
      <c r="G30" s="246">
        <f t="shared" si="3"/>
        <v>118707.43801652893</v>
      </c>
      <c r="H30" s="68">
        <f t="shared" si="0"/>
        <v>24928.561983471074</v>
      </c>
      <c r="I30" s="68">
        <f t="shared" si="1"/>
        <v>143636</v>
      </c>
      <c r="J30" s="66" t="s">
        <v>339</v>
      </c>
    </row>
    <row r="31" spans="2:10" ht="13.8" x14ac:dyDescent="0.25">
      <c r="B31" s="637"/>
      <c r="C31" s="244" t="s">
        <v>340</v>
      </c>
      <c r="D31" s="245">
        <v>1</v>
      </c>
      <c r="E31" s="246">
        <v>29998</v>
      </c>
      <c r="F31" s="67">
        <f t="shared" si="2"/>
        <v>6299.58</v>
      </c>
      <c r="G31" s="246">
        <f t="shared" si="3"/>
        <v>29998</v>
      </c>
      <c r="H31" s="68">
        <f t="shared" si="0"/>
        <v>6299.58</v>
      </c>
      <c r="I31" s="68">
        <f t="shared" si="1"/>
        <v>36297.58</v>
      </c>
      <c r="J31" s="66" t="s">
        <v>341</v>
      </c>
    </row>
    <row r="32" spans="2:10" ht="13.8" x14ac:dyDescent="0.25">
      <c r="B32" s="637"/>
      <c r="C32" s="244" t="s">
        <v>342</v>
      </c>
      <c r="D32" s="245">
        <v>1</v>
      </c>
      <c r="E32" s="246">
        <f>48398/1.21</f>
        <v>39998.347107438021</v>
      </c>
      <c r="F32" s="67">
        <f t="shared" si="2"/>
        <v>8399.6528925619841</v>
      </c>
      <c r="G32" s="246">
        <f t="shared" si="3"/>
        <v>39998.347107438021</v>
      </c>
      <c r="H32" s="68">
        <f t="shared" si="0"/>
        <v>8399.6528925619841</v>
      </c>
      <c r="I32" s="68">
        <f t="shared" si="1"/>
        <v>48398.000000000007</v>
      </c>
      <c r="J32" s="66" t="s">
        <v>343</v>
      </c>
    </row>
    <row r="33" spans="2:10" ht="13.8" x14ac:dyDescent="0.25">
      <c r="B33" s="637"/>
      <c r="C33" s="257" t="s">
        <v>344</v>
      </c>
      <c r="D33" s="258">
        <v>2</v>
      </c>
      <c r="E33" s="259"/>
      <c r="F33" s="260">
        <f t="shared" si="2"/>
        <v>0</v>
      </c>
      <c r="G33" s="259">
        <f t="shared" si="3"/>
        <v>0</v>
      </c>
      <c r="H33" s="261">
        <f t="shared" si="0"/>
        <v>0</v>
      </c>
      <c r="I33" s="261">
        <f t="shared" si="1"/>
        <v>0</v>
      </c>
    </row>
    <row r="34" spans="2:10" ht="13.5" customHeight="1" x14ac:dyDescent="0.25">
      <c r="B34" s="637" t="s">
        <v>345</v>
      </c>
      <c r="C34" s="255" t="s">
        <v>158</v>
      </c>
      <c r="D34" s="256">
        <v>3</v>
      </c>
      <c r="E34" s="246">
        <f>26499/1.21</f>
        <v>21900</v>
      </c>
      <c r="F34" s="67">
        <f t="shared" si="2"/>
        <v>4599</v>
      </c>
      <c r="G34" s="246">
        <f t="shared" si="3"/>
        <v>65700</v>
      </c>
      <c r="H34" s="68">
        <f t="shared" si="0"/>
        <v>13797</v>
      </c>
      <c r="I34" s="68">
        <f t="shared" si="1"/>
        <v>79497</v>
      </c>
      <c r="J34" s="66" t="s">
        <v>346</v>
      </c>
    </row>
    <row r="35" spans="2:10" ht="13.8" x14ac:dyDescent="0.25">
      <c r="B35" s="637"/>
      <c r="C35" s="244" t="s">
        <v>347</v>
      </c>
      <c r="D35" s="245">
        <v>2</v>
      </c>
      <c r="E35" s="246">
        <f>125005/1.21</f>
        <v>103309.9173553719</v>
      </c>
      <c r="F35" s="67">
        <f t="shared" si="2"/>
        <v>21695.082644628099</v>
      </c>
      <c r="G35" s="246">
        <f t="shared" si="3"/>
        <v>206619.8347107438</v>
      </c>
      <c r="H35" s="68">
        <f t="shared" si="0"/>
        <v>43390.165289256198</v>
      </c>
      <c r="I35" s="68">
        <f t="shared" si="1"/>
        <v>250010</v>
      </c>
      <c r="J35" s="66" t="s">
        <v>348</v>
      </c>
    </row>
    <row r="36" spans="2:10" ht="13.8" x14ac:dyDescent="0.25">
      <c r="B36" s="637"/>
      <c r="C36" s="244" t="s">
        <v>306</v>
      </c>
      <c r="D36" s="245">
        <v>1</v>
      </c>
      <c r="E36" s="246">
        <f>+E23</f>
        <v>33387.603305785124</v>
      </c>
      <c r="F36" s="67">
        <f t="shared" si="2"/>
        <v>7011.3966942148754</v>
      </c>
      <c r="G36" s="246">
        <f t="shared" si="3"/>
        <v>33387.603305785124</v>
      </c>
      <c r="H36" s="68">
        <f t="shared" si="0"/>
        <v>7011.3966942148754</v>
      </c>
      <c r="I36" s="68">
        <f t="shared" si="1"/>
        <v>40399</v>
      </c>
    </row>
    <row r="37" spans="2:10" ht="13.8" x14ac:dyDescent="0.25">
      <c r="B37" s="637"/>
      <c r="C37" s="244" t="s">
        <v>349</v>
      </c>
      <c r="D37" s="245">
        <v>16</v>
      </c>
      <c r="E37" s="246">
        <f>9025/1.21</f>
        <v>7458.6776859504134</v>
      </c>
      <c r="F37" s="67">
        <f t="shared" si="2"/>
        <v>1566.3223140495868</v>
      </c>
      <c r="G37" s="246">
        <f t="shared" si="3"/>
        <v>119338.84297520661</v>
      </c>
      <c r="H37" s="68">
        <f t="shared" si="0"/>
        <v>25061.157024793389</v>
      </c>
      <c r="I37" s="68">
        <f t="shared" si="1"/>
        <v>144400</v>
      </c>
      <c r="J37" s="66" t="s">
        <v>350</v>
      </c>
    </row>
    <row r="38" spans="2:10" ht="13.8" x14ac:dyDescent="0.25">
      <c r="B38" s="637"/>
      <c r="C38" s="244" t="s">
        <v>351</v>
      </c>
      <c r="D38" s="245">
        <v>1</v>
      </c>
      <c r="E38" s="246">
        <f>121699/1.21</f>
        <v>100577.68595041323</v>
      </c>
      <c r="F38" s="67">
        <f t="shared" si="2"/>
        <v>21121.314049586777</v>
      </c>
      <c r="G38" s="246">
        <f t="shared" si="3"/>
        <v>100577.68595041323</v>
      </c>
      <c r="H38" s="68">
        <f t="shared" si="0"/>
        <v>21121.314049586777</v>
      </c>
      <c r="I38" s="68">
        <f t="shared" si="1"/>
        <v>121699</v>
      </c>
      <c r="J38" s="66" t="s">
        <v>352</v>
      </c>
    </row>
    <row r="39" spans="2:10" ht="13.8" x14ac:dyDescent="0.25">
      <c r="B39" s="637"/>
      <c r="C39" s="252" t="s">
        <v>353</v>
      </c>
      <c r="D39" s="253">
        <v>1</v>
      </c>
      <c r="E39" s="254">
        <f>140600/1.21</f>
        <v>116198.34710743802</v>
      </c>
      <c r="F39" s="69">
        <f t="shared" si="2"/>
        <v>24401.652892561982</v>
      </c>
      <c r="G39" s="254">
        <f t="shared" si="3"/>
        <v>116198.34710743802</v>
      </c>
      <c r="H39" s="70">
        <f t="shared" si="0"/>
        <v>24401.652892561982</v>
      </c>
      <c r="I39" s="70">
        <f t="shared" si="1"/>
        <v>140600</v>
      </c>
      <c r="J39" s="66" t="s">
        <v>354</v>
      </c>
    </row>
    <row r="40" spans="2:10" ht="13.5" customHeight="1" x14ac:dyDescent="0.25">
      <c r="B40" s="637" t="s">
        <v>355</v>
      </c>
      <c r="C40" s="255" t="s">
        <v>356</v>
      </c>
      <c r="D40" s="256">
        <v>8</v>
      </c>
      <c r="E40" s="246">
        <f>55015/1.21</f>
        <v>45466.942148760332</v>
      </c>
      <c r="F40" s="67">
        <f t="shared" si="2"/>
        <v>9548.0578512396696</v>
      </c>
      <c r="G40" s="246">
        <f t="shared" si="3"/>
        <v>363735.53719008266</v>
      </c>
      <c r="H40" s="68">
        <f t="shared" si="0"/>
        <v>76384.462809917357</v>
      </c>
      <c r="I40" s="68">
        <f t="shared" si="1"/>
        <v>440120</v>
      </c>
      <c r="J40" s="66" t="s">
        <v>357</v>
      </c>
    </row>
    <row r="41" spans="2:10" ht="13.8" x14ac:dyDescent="0.25">
      <c r="B41" s="637"/>
      <c r="C41" s="244" t="s">
        <v>358</v>
      </c>
      <c r="D41" s="245">
        <v>6</v>
      </c>
      <c r="E41" s="246">
        <f>13639/1.21</f>
        <v>11271.900826446281</v>
      </c>
      <c r="F41" s="67">
        <f t="shared" si="2"/>
        <v>2367.0991735537191</v>
      </c>
      <c r="G41" s="246">
        <f t="shared" si="3"/>
        <v>67631.404958677682</v>
      </c>
      <c r="H41" s="68">
        <f t="shared" si="0"/>
        <v>14202.595041322315</v>
      </c>
      <c r="I41" s="68">
        <f t="shared" si="1"/>
        <v>81834</v>
      </c>
      <c r="J41" s="66" t="s">
        <v>359</v>
      </c>
    </row>
    <row r="42" spans="2:10" ht="13.8" x14ac:dyDescent="0.25">
      <c r="B42" s="637"/>
      <c r="C42" s="244" t="s">
        <v>360</v>
      </c>
      <c r="D42" s="245">
        <v>2</v>
      </c>
      <c r="E42" s="246">
        <f>165501/1.21</f>
        <v>136777.68595041323</v>
      </c>
      <c r="F42" s="67">
        <f t="shared" si="2"/>
        <v>28723.314049586777</v>
      </c>
      <c r="G42" s="246">
        <f t="shared" si="3"/>
        <v>273555.37190082646</v>
      </c>
      <c r="H42" s="68">
        <f t="shared" si="0"/>
        <v>57446.628099173555</v>
      </c>
      <c r="I42" s="68">
        <f t="shared" si="1"/>
        <v>331002</v>
      </c>
      <c r="J42" s="66" t="s">
        <v>361</v>
      </c>
    </row>
    <row r="43" spans="2:10" ht="13.8" x14ac:dyDescent="0.25">
      <c r="B43" s="637"/>
      <c r="C43" s="244" t="s">
        <v>362</v>
      </c>
      <c r="D43" s="245">
        <v>8</v>
      </c>
      <c r="E43" s="246"/>
      <c r="F43" s="67">
        <f t="shared" si="2"/>
        <v>0</v>
      </c>
      <c r="G43" s="246">
        <f t="shared" si="3"/>
        <v>0</v>
      </c>
      <c r="H43" s="68">
        <f t="shared" si="0"/>
        <v>0</v>
      </c>
      <c r="I43" s="68">
        <f t="shared" si="1"/>
        <v>0</v>
      </c>
    </row>
    <row r="44" spans="2:10" ht="13.8" x14ac:dyDescent="0.25">
      <c r="B44" s="637"/>
      <c r="C44" s="252" t="s">
        <v>363</v>
      </c>
      <c r="D44" s="253">
        <v>20</v>
      </c>
      <c r="E44" s="254"/>
      <c r="F44" s="69">
        <f t="shared" si="2"/>
        <v>0</v>
      </c>
      <c r="G44" s="254">
        <f t="shared" si="3"/>
        <v>0</v>
      </c>
      <c r="H44" s="70">
        <f t="shared" si="0"/>
        <v>0</v>
      </c>
      <c r="I44" s="70">
        <f t="shared" si="1"/>
        <v>0</v>
      </c>
    </row>
    <row r="45" spans="2:10" ht="12.75" customHeight="1" x14ac:dyDescent="0.25">
      <c r="B45" s="637" t="s">
        <v>364</v>
      </c>
      <c r="C45" s="151" t="s">
        <v>365</v>
      </c>
      <c r="E45" s="67">
        <f>97942*1.1</f>
        <v>107736.20000000001</v>
      </c>
      <c r="F45" s="5" t="s">
        <v>366</v>
      </c>
      <c r="G45" s="5" t="s">
        <v>367</v>
      </c>
      <c r="H45" s="67">
        <f>+E45*1428</f>
        <v>153847293.60000002</v>
      </c>
      <c r="I45" s="262"/>
    </row>
    <row r="46" spans="2:10" ht="12.75" customHeight="1" x14ac:dyDescent="0.25">
      <c r="B46" s="637"/>
      <c r="E46" s="67"/>
      <c r="F46" s="5" t="s">
        <v>366</v>
      </c>
      <c r="G46" s="5" t="s">
        <v>367</v>
      </c>
      <c r="I46" s="262"/>
    </row>
    <row r="47" spans="2:10" ht="12.75" customHeight="1" x14ac:dyDescent="0.25">
      <c r="B47" s="637"/>
      <c r="I47" s="262"/>
    </row>
    <row r="48" spans="2:10" ht="12.75" customHeight="1" x14ac:dyDescent="0.25">
      <c r="B48" s="637"/>
      <c r="I48" s="262"/>
    </row>
    <row r="49" spans="2:10" ht="12.75" customHeight="1" x14ac:dyDescent="0.25">
      <c r="B49" s="637"/>
      <c r="I49" s="262"/>
    </row>
    <row r="50" spans="2:10" ht="12.75" customHeight="1" x14ac:dyDescent="0.25">
      <c r="B50" s="637"/>
      <c r="I50" s="262"/>
    </row>
    <row r="51" spans="2:10" ht="12.75" customHeight="1" x14ac:dyDescent="0.25">
      <c r="B51" s="638" t="s">
        <v>48</v>
      </c>
      <c r="C51" s="263" t="s">
        <v>49</v>
      </c>
      <c r="D51" s="207"/>
      <c r="E51" s="64">
        <f>3900/1.21</f>
        <v>3223.1404958677685</v>
      </c>
      <c r="F51" s="64">
        <f t="shared" ref="F51:F56" si="4">+E51*0.21</f>
        <v>676.85950413223134</v>
      </c>
      <c r="G51" s="207"/>
      <c r="H51" s="207"/>
      <c r="I51" s="208"/>
      <c r="J51" s="66" t="s">
        <v>50</v>
      </c>
    </row>
    <row r="52" spans="2:10" x14ac:dyDescent="0.25">
      <c r="B52" s="638"/>
      <c r="C52" s="8" t="s">
        <v>51</v>
      </c>
      <c r="E52" s="67">
        <f>2850*5/1.21</f>
        <v>11776.859504132231</v>
      </c>
      <c r="F52" s="67">
        <f t="shared" si="4"/>
        <v>2473.1404958677685</v>
      </c>
      <c r="I52" s="262"/>
      <c r="J52" s="66" t="s">
        <v>52</v>
      </c>
    </row>
    <row r="53" spans="2:10" x14ac:dyDescent="0.25">
      <c r="B53" s="638"/>
      <c r="C53" s="8" t="s">
        <v>53</v>
      </c>
      <c r="E53" s="67">
        <f>13057/1.21</f>
        <v>10790.909090909092</v>
      </c>
      <c r="F53" s="67">
        <f t="shared" si="4"/>
        <v>2266.090909090909</v>
      </c>
      <c r="I53" s="262"/>
      <c r="J53" s="66" t="s">
        <v>54</v>
      </c>
    </row>
    <row r="54" spans="2:10" x14ac:dyDescent="0.25">
      <c r="B54" s="638"/>
      <c r="C54" s="8" t="s">
        <v>55</v>
      </c>
      <c r="E54" s="67">
        <f>1030/1.21</f>
        <v>851.23966942148763</v>
      </c>
      <c r="F54" s="67">
        <f t="shared" si="4"/>
        <v>178.7603305785124</v>
      </c>
      <c r="I54" s="262"/>
      <c r="J54" s="66" t="s">
        <v>56</v>
      </c>
    </row>
    <row r="55" spans="2:10" x14ac:dyDescent="0.25">
      <c r="B55" s="638"/>
      <c r="C55" s="8" t="s">
        <v>57</v>
      </c>
      <c r="E55" s="67">
        <f>3.7*InfoInicial!B33</f>
        <v>559.625</v>
      </c>
      <c r="F55" s="67">
        <f t="shared" si="4"/>
        <v>117.52124999999999</v>
      </c>
      <c r="I55" s="262"/>
      <c r="J55" s="66" t="s">
        <v>58</v>
      </c>
    </row>
    <row r="56" spans="2:10" x14ac:dyDescent="0.25">
      <c r="B56" s="638"/>
      <c r="C56" s="7" t="s">
        <v>59</v>
      </c>
      <c r="D56" s="264"/>
      <c r="E56" s="69">
        <f>150/1.21</f>
        <v>123.96694214876034</v>
      </c>
      <c r="F56" s="69">
        <f t="shared" si="4"/>
        <v>26.033057851239668</v>
      </c>
      <c r="G56" s="264"/>
      <c r="H56" s="264"/>
      <c r="I56" s="265"/>
    </row>
    <row r="59" spans="2:10" x14ac:dyDescent="0.25">
      <c r="B59" s="144"/>
      <c r="C59" s="235"/>
      <c r="D59" s="207"/>
      <c r="E59" s="208"/>
    </row>
    <row r="60" spans="2:10" x14ac:dyDescent="0.25">
      <c r="B60" s="146"/>
      <c r="D60" s="5" t="s">
        <v>368</v>
      </c>
      <c r="E60" s="262" t="s">
        <v>369</v>
      </c>
      <c r="F60" s="5" t="s">
        <v>370</v>
      </c>
      <c r="G60" s="5" t="s">
        <v>371</v>
      </c>
    </row>
    <row r="61" spans="2:10" x14ac:dyDescent="0.25">
      <c r="B61" s="146" t="s">
        <v>372</v>
      </c>
      <c r="C61" s="151" t="s">
        <v>373</v>
      </c>
      <c r="D61" s="5">
        <v>2260</v>
      </c>
      <c r="E61" s="262">
        <v>560000</v>
      </c>
      <c r="F61" s="5">
        <f>+InfoInicial!B33</f>
        <v>151.25</v>
      </c>
      <c r="G61" s="37">
        <f>+E61*F61*H61</f>
        <v>84700000</v>
      </c>
      <c r="H61" s="5">
        <v>1</v>
      </c>
    </row>
    <row r="62" spans="2:10" x14ac:dyDescent="0.25">
      <c r="B62" s="153"/>
      <c r="C62" s="266"/>
      <c r="D62" s="264"/>
      <c r="E62" s="265"/>
    </row>
    <row r="64" spans="2:10" x14ac:dyDescent="0.25">
      <c r="D64" s="5" t="s">
        <v>368</v>
      </c>
      <c r="E64" s="5" t="s">
        <v>374</v>
      </c>
      <c r="F64" s="5" t="s">
        <v>375</v>
      </c>
      <c r="G64" s="5" t="s">
        <v>371</v>
      </c>
      <c r="I64" s="5" t="s">
        <v>376</v>
      </c>
    </row>
    <row r="65" spans="2:9" x14ac:dyDescent="0.25">
      <c r="B65" t="s">
        <v>377</v>
      </c>
      <c r="C65" s="151" t="s">
        <v>378</v>
      </c>
      <c r="D65" s="5">
        <f>+InfoInicial!B28</f>
        <v>1428</v>
      </c>
      <c r="E65" s="67">
        <f>+E45</f>
        <v>107736.20000000001</v>
      </c>
      <c r="F65" s="5">
        <v>0.8</v>
      </c>
      <c r="G65" s="267">
        <f>+D65*E65*F65*H65</f>
        <v>123077834.88000003</v>
      </c>
      <c r="H65" s="5">
        <v>1</v>
      </c>
      <c r="I65" s="610"/>
    </row>
    <row r="67" spans="2:9" x14ac:dyDescent="0.25">
      <c r="B67" s="20" t="s">
        <v>130</v>
      </c>
      <c r="C67" s="20" t="s">
        <v>379</v>
      </c>
      <c r="D67" s="20" t="s">
        <v>380</v>
      </c>
      <c r="E67" s="20" t="s">
        <v>381</v>
      </c>
      <c r="F67" s="20" t="s">
        <v>382</v>
      </c>
      <c r="G67" s="20" t="s">
        <v>383</v>
      </c>
    </row>
    <row r="68" spans="2:9" x14ac:dyDescent="0.25">
      <c r="B68" s="26" t="s">
        <v>384</v>
      </c>
      <c r="C68" s="268">
        <v>19000</v>
      </c>
      <c r="D68" s="64">
        <f>+InfoInicial!$B$33</f>
        <v>151.25</v>
      </c>
      <c r="E68" s="64">
        <f t="shared" ref="E68:E73" si="5">+C68*D68</f>
        <v>2873750</v>
      </c>
      <c r="F68" s="64">
        <f t="shared" ref="F68:F74" si="6">+E68*0.21</f>
        <v>603487.5</v>
      </c>
      <c r="G68" s="65">
        <f t="shared" ref="G68:G73" si="7">+E68+F68</f>
        <v>3477237.5</v>
      </c>
      <c r="H68" s="5" t="s">
        <v>385</v>
      </c>
    </row>
    <row r="69" spans="2:9" x14ac:dyDescent="0.25">
      <c r="B69" s="26" t="s">
        <v>386</v>
      </c>
      <c r="C69" s="269">
        <v>54000</v>
      </c>
      <c r="D69" s="67">
        <f>+InfoInicial!$B$33</f>
        <v>151.25</v>
      </c>
      <c r="E69" s="67">
        <f t="shared" si="5"/>
        <v>8167500</v>
      </c>
      <c r="F69" s="67">
        <f t="shared" si="6"/>
        <v>1715175</v>
      </c>
      <c r="G69" s="68">
        <f t="shared" si="7"/>
        <v>9882675</v>
      </c>
      <c r="H69" s="5" t="s">
        <v>385</v>
      </c>
    </row>
    <row r="70" spans="2:9" x14ac:dyDescent="0.25">
      <c r="B70" s="29" t="s">
        <v>387</v>
      </c>
      <c r="C70" s="269">
        <v>54000</v>
      </c>
      <c r="D70" s="67">
        <f>+InfoInicial!$B$33</f>
        <v>151.25</v>
      </c>
      <c r="E70" s="67">
        <f t="shared" si="5"/>
        <v>8167500</v>
      </c>
      <c r="F70" s="67">
        <f t="shared" si="6"/>
        <v>1715175</v>
      </c>
      <c r="G70" s="68">
        <f t="shared" si="7"/>
        <v>9882675</v>
      </c>
      <c r="H70" s="5" t="s">
        <v>385</v>
      </c>
    </row>
    <row r="71" spans="2:9" x14ac:dyDescent="0.25">
      <c r="B71" s="20" t="s">
        <v>388</v>
      </c>
      <c r="C71" s="269">
        <v>33000</v>
      </c>
      <c r="D71" s="67">
        <f>+InfoInicial!$B$33</f>
        <v>151.25</v>
      </c>
      <c r="E71" s="67">
        <f t="shared" si="5"/>
        <v>4991250</v>
      </c>
      <c r="F71" s="67">
        <f t="shared" si="6"/>
        <v>1048162.5</v>
      </c>
      <c r="G71" s="68">
        <f t="shared" si="7"/>
        <v>6039412.5</v>
      </c>
      <c r="H71" s="5" t="s">
        <v>385</v>
      </c>
    </row>
    <row r="72" spans="2:9" x14ac:dyDescent="0.25">
      <c r="B72" s="26" t="s">
        <v>149</v>
      </c>
      <c r="C72" s="269">
        <v>115000</v>
      </c>
      <c r="D72" s="67">
        <f>+InfoInicial!$B$33</f>
        <v>151.25</v>
      </c>
      <c r="E72" s="67">
        <f t="shared" si="5"/>
        <v>17393750</v>
      </c>
      <c r="F72" s="67">
        <f t="shared" si="6"/>
        <v>3652687.5</v>
      </c>
      <c r="G72" s="68">
        <f t="shared" si="7"/>
        <v>21046437.5</v>
      </c>
      <c r="H72" s="5" t="s">
        <v>389</v>
      </c>
    </row>
    <row r="73" spans="2:9" x14ac:dyDescent="0.25">
      <c r="B73" s="26" t="s">
        <v>390</v>
      </c>
      <c r="C73" s="269">
        <v>15000</v>
      </c>
      <c r="D73" s="67">
        <f>+InfoInicial!$B$33</f>
        <v>151.25</v>
      </c>
      <c r="E73" s="67">
        <f t="shared" si="5"/>
        <v>2268750</v>
      </c>
      <c r="F73" s="67">
        <f t="shared" si="6"/>
        <v>476437.5</v>
      </c>
      <c r="G73" s="68">
        <f t="shared" si="7"/>
        <v>2745187.5</v>
      </c>
      <c r="H73" s="5" t="s">
        <v>391</v>
      </c>
    </row>
    <row r="74" spans="2:9" x14ac:dyDescent="0.25">
      <c r="B74" s="29" t="s">
        <v>392</v>
      </c>
      <c r="C74" s="7"/>
      <c r="D74" s="69"/>
      <c r="E74" s="69">
        <v>1368746.28</v>
      </c>
      <c r="F74" s="69">
        <f t="shared" si="6"/>
        <v>287436.71879999997</v>
      </c>
      <c r="G74" s="70">
        <f>+F74+E74</f>
        <v>1656182.9987999999</v>
      </c>
    </row>
    <row r="75" spans="2:9" x14ac:dyDescent="0.25">
      <c r="D75" s="67"/>
      <c r="E75" s="67">
        <f>+SUM(E68:E74)</f>
        <v>45231246.280000001</v>
      </c>
      <c r="F75" s="67">
        <f>+SUM(F68:F74)</f>
        <v>9498561.7188000008</v>
      </c>
      <c r="G75" s="67">
        <f>+SUM(G68:G74)</f>
        <v>54729807.998800002</v>
      </c>
    </row>
    <row r="76" spans="2:9" ht="26.4" x14ac:dyDescent="0.25">
      <c r="B76" s="3" t="s">
        <v>393</v>
      </c>
      <c r="C76" s="270">
        <v>0.02</v>
      </c>
      <c r="D76" s="271"/>
      <c r="E76" s="271">
        <f>+E75*C76</f>
        <v>904624.92560000008</v>
      </c>
      <c r="F76" s="271">
        <f>+E76*0.21</f>
        <v>189971.23437600001</v>
      </c>
      <c r="G76" s="271">
        <f>+E76+F76</f>
        <v>1094596.159976</v>
      </c>
      <c r="H76" s="272" t="s">
        <v>394</v>
      </c>
    </row>
    <row r="77" spans="2:9" x14ac:dyDescent="0.25">
      <c r="D77" s="67"/>
      <c r="E77" s="67"/>
      <c r="F77" s="67"/>
      <c r="G77" s="67"/>
    </row>
    <row r="79" spans="2:9" x14ac:dyDescent="0.25">
      <c r="B79" s="20"/>
      <c r="C79" s="20" t="s">
        <v>371</v>
      </c>
      <c r="D79" s="20" t="s">
        <v>395</v>
      </c>
      <c r="E79" s="20" t="s">
        <v>396</v>
      </c>
    </row>
    <row r="80" spans="2:9" x14ac:dyDescent="0.25">
      <c r="B80" s="20" t="s">
        <v>397</v>
      </c>
      <c r="C80" s="20">
        <f>+SUM(G5:G44)</f>
        <v>10348356.847603308</v>
      </c>
      <c r="D80" s="273">
        <f>+SUM(H5:H44)</f>
        <v>1999450.5743603308</v>
      </c>
      <c r="E80" s="273">
        <f>+SUM(I5:I44)</f>
        <v>12347807.421963636</v>
      </c>
    </row>
    <row r="83" spans="2:8" x14ac:dyDescent="0.25">
      <c r="B83" s="274" t="s">
        <v>398</v>
      </c>
      <c r="C83" s="49"/>
      <c r="D83" s="131"/>
    </row>
    <row r="84" spans="2:8" x14ac:dyDescent="0.25">
      <c r="B84" s="146"/>
      <c r="C84" s="3" t="s">
        <v>259</v>
      </c>
      <c r="D84" s="275" t="s">
        <v>92</v>
      </c>
      <c r="E84" s="5" t="s">
        <v>399</v>
      </c>
    </row>
    <row r="85" spans="2:8" x14ac:dyDescent="0.25">
      <c r="B85" s="146" t="s">
        <v>400</v>
      </c>
      <c r="C85" s="276">
        <v>200000</v>
      </c>
      <c r="D85" s="262"/>
    </row>
    <row r="86" spans="2:8" ht="26.4" x14ac:dyDescent="0.25">
      <c r="B86" s="277" t="s">
        <v>401</v>
      </c>
      <c r="C86" s="276">
        <v>150000</v>
      </c>
      <c r="D86" s="262"/>
    </row>
    <row r="87" spans="2:8" ht="31.5" customHeight="1" x14ac:dyDescent="0.25">
      <c r="B87" s="278" t="s">
        <v>402</v>
      </c>
      <c r="C87" s="276">
        <f>+E87*G65</f>
        <v>3692335.0464000008</v>
      </c>
      <c r="D87" s="262"/>
      <c r="E87" s="279">
        <v>0.03</v>
      </c>
    </row>
    <row r="88" spans="2:8" x14ac:dyDescent="0.25">
      <c r="B88" s="153" t="s">
        <v>403</v>
      </c>
      <c r="C88" s="264"/>
      <c r="D88" s="70">
        <f>+(G88/25)*E51</f>
        <v>31553256.198347107</v>
      </c>
      <c r="F88" s="5" t="s">
        <v>404</v>
      </c>
      <c r="G88" s="280">
        <f>244.74*1000</f>
        <v>244740</v>
      </c>
      <c r="H88" s="5" t="s">
        <v>74</v>
      </c>
    </row>
    <row r="91" spans="2:8" x14ac:dyDescent="0.25">
      <c r="E91" s="280"/>
    </row>
  </sheetData>
  <mergeCells count="8">
    <mergeCell ref="B40:B44"/>
    <mergeCell ref="B45:B50"/>
    <mergeCell ref="B51:B56"/>
    <mergeCell ref="E3:F3"/>
    <mergeCell ref="G3:H3"/>
    <mergeCell ref="B5:B18"/>
    <mergeCell ref="B19:B33"/>
    <mergeCell ref="B34:B39"/>
  </mergeCells>
  <hyperlinks>
    <hyperlink ref="J5" r:id="rId1" location="position=47&amp;search_layout=stack&amp;type=item&amp;tracking_id=3d393541-aad7-4129-b1be-40270ebe673f" xr:uid="{00000000-0004-0000-0200-000000000000}"/>
    <hyperlink ref="J7" r:id="rId2" xr:uid="{00000000-0004-0000-0200-000001000000}"/>
    <hyperlink ref="J10" r:id="rId3" location="position=1&amp;search_layout=stack&amp;type=pad&amp;tracking_id=a93b4d55-32ab-4d95-b6b7-3b3c4f7179df%23position=1&amp;search_layout=stack&amp;type=pad&amp;tracking_id=a93b4d55-32ab-4d95-b6b7-3b3c4f7179df&amp;is_advertising=true&amp;ad_domain=VQCATCORE_LST&amp;ad_position=1&amp;ad_click_id=MTBlY" display="https://articulo.mercadolibre.com.ar/MLA-1126952940-zorra-hidraulica-2-ton-lusqtoff-p-pallet-520x1150mm-manual-_JM#position=1&amp;search_layout=stack&amp;type=pad&amp;tracking_id=a93b4d55-32ab-4d95-b6b7-3b3c4f7179df#position=1&amp;search_layout=stack&amp;type=pad&amp;tracking_id=a93b4d55-32ab-4d95-b6b7-3b3c4f7179df&amp;is_advertising=true&amp;ad_domain=VQCATCORE_LST&amp;ad_position=1&amp;ad_click_id=MTBlY2FkMWMtNzQyYy00NzgwLWI4YzgtNzczMzk2YmE5MTgy" xr:uid="{00000000-0004-0000-0200-000002000000}"/>
    <hyperlink ref="J11" r:id="rId4" location="searchVariation=87007116390&amp;position=11&amp;search_layout=grid&amp;type=item&amp;tracking_id=0700075b-38bf-4fc9-a9a4-b0d5b6c33ed3" display="https://articulo.mercadolibre.com.ar/MLA-918609910-dispenser-de-agua-tres-temperaturas-super-precio-para-bidon-_JM?searchVariation=87007116390#searchVariation=87007116390&amp;position=11&amp;search_layout=grid&amp;type=item&amp;tracking_id=0700075b-38bf-4fc9-a9a4-b0d5b6c33ed3" xr:uid="{00000000-0004-0000-0200-000003000000}"/>
    <hyperlink ref="J12" r:id="rId5" location="position=11&amp;search_layout=stack&amp;type=item&amp;tracking_id=71ab68e4-7fda-46f2-85a4-8453af1c6158" xr:uid="{00000000-0004-0000-0200-000004000000}"/>
    <hyperlink ref="J13" r:id="rId6" location="position=18&amp;search_layout=stack&amp;type=item&amp;tracking_id=bdbb79c7-3201-474e-b688-88f961203076" xr:uid="{00000000-0004-0000-0200-000005000000}"/>
    <hyperlink ref="J14" r:id="rId7" location="position=13&amp;search_layout=stack&amp;type=item&amp;tracking_id=070d2fab-a6a5-4fc4-923e-d4fc7914a1ec" xr:uid="{00000000-0004-0000-0200-000006000000}"/>
    <hyperlink ref="J18" r:id="rId8" location="position=26&amp;search_layout=grid&amp;type=item&amp;tracking_id=2f8254dc-9f5e-4c1c-af66-13bd5a016d23" xr:uid="{00000000-0004-0000-0200-000007000000}"/>
    <hyperlink ref="J19" r:id="rId9" location="searchVariation=174421671052&amp;position=1&amp;search_layout=stack&amp;type=item&amp;tracking_id=2e3ed37c-36e7-49ff-b315-71de4d1c5f13" xr:uid="{00000000-0004-0000-0200-000008000000}"/>
    <hyperlink ref="J20" r:id="rId10" location="reco_item_pos=0&amp;reco_backend=machinalis-seller-items-pdp&amp;reco_backend_type=low_level&amp;reco_client=vip-seller_items-above&amp;reco_id=3b17632f-5a26-4201-9c65-7a024bcfe8f8" display="https://articulo.mercadolibre.com.ar/MLA-886614267-mesas-coworking-de-trabajo-escritorios-140x-080-_JM?variation=67339886516#reco_item_pos=0&amp;reco_backend=machinalis-seller-items-pdp&amp;reco_backend_type=low_level&amp;reco_client=vip-seller_items-above&amp;reco_id=3b17632f-5a26-4201-9c65-7a024bcfe8f8" xr:uid="{00000000-0004-0000-0200-000009000000}"/>
    <hyperlink ref="J21" r:id="rId11" location="searchVariation=MLA16108851&amp;position=2&amp;search_layout=grid&amp;type=product&amp;tracking_id=9c73b377-c48a-4e96-8164-aa45f2c56e9e" display="https://www.mercadolibre.com.ar/silla-de-escritorio-desillas-lancaster-negra-con-tapizado-de-mesh/p/MLA16108851?pdp_filters=category:MLA30994#searchVariation=MLA16108851&amp;position=2&amp;search_layout=grid&amp;type=product&amp;tracking_id=9c73b377-c48a-4e96-8164-aa45f2c56e9e" xr:uid="{00000000-0004-0000-0200-00000A000000}"/>
    <hyperlink ref="J22" r:id="rId12" location="searchVariation=63307644505&amp;position=7&amp;search_layout=grid&amp;type=item&amp;tracking_id=2df663ae-6184-4150-b16c-47327dd2f98a" display="https://articulo.mercadolibre.com.ar/MLA-876685505-cesto-residuos-reciclado-55-lts-tapa-plana-x-2u-colombraro-_JM?searchVariation=63307644505#searchVariation=63307644505&amp;position=7&amp;search_layout=grid&amp;type=item&amp;tracking_id=2df663ae-6184-4150-b16c-47327dd2f98a" xr:uid="{00000000-0004-0000-0200-00000B000000}"/>
    <hyperlink ref="J23" r:id="rId13" location="searchVariation=88991416006&amp;position=19&amp;search_layout=grid&amp;type=item&amp;tracking_id=eadb291e-2288-44c4-8342-de3523184291" xr:uid="{00000000-0004-0000-0200-00000C000000}"/>
    <hyperlink ref="J24" r:id="rId14" location="searchVariation=MLA15159034&amp;position=29&amp;search_layout=stack&amp;type=product&amp;tracking_id=ca4c5b0b-845a-46eb-86e4-cbd2d4a0c3ab" display="https://www.mercadolibre.com.ar/impresora-multifuncion-hp-laserjet-137fnw-con-wifi-blanca-y-negra-220v-240v/p/MLA15159034?pdp_filters=category:MLA1676#searchVariation=MLA15159034&amp;position=29&amp;search_layout=stack&amp;type=product&amp;tracking_id=ca4c5b0b-845a-46eb-86e4-cbd2d4a0c3ab" xr:uid="{00000000-0004-0000-0200-00000D000000}"/>
    <hyperlink ref="J25" r:id="rId15" location="searchVariation=MLA15159034&amp;position=29&amp;search_layout=stack&amp;type=product&amp;tracking_id=ca4c5b0b-845a-46eb-86e4-cbd2d4a0c3ab" display="https://www.mercadolibre.com.ar/impresora-multifuncion-hp-laserjet-137fnw-con-wifi-blanca-y-negra-220v-240v/p/MLA15159034?pdp_filters=category:MLA1676#searchVariation=MLA15159034&amp;position=29&amp;search_layout=stack&amp;type=product&amp;tracking_id=ca4c5b0b-845a-46eb-86e4-cbd2d4a0c3ab" xr:uid="{00000000-0004-0000-0200-00000E000000}"/>
    <hyperlink ref="J26" r:id="rId16" location="searchVariation=67935743128&amp;position=27&amp;search_layout=stack&amp;type=item&amp;tracking_id=a1bdfe54-9553-475a-b2fc-0fb68ef4a62c" display="https://articulo.mercadolibre.com.ar/MLA-896782289-saeco-lirika-otc-modelo-2020-1-kg-cafe-bonafide-de-regalo-_JM?searchVariation=67935743128#searchVariation=67935743128&amp;position=27&amp;search_layout=stack&amp;type=item&amp;tracking_id=a1bdfe54-9553-475a-b2fc-0fb68ef4a62c" xr:uid="{00000000-0004-0000-0200-00000F000000}"/>
    <hyperlink ref="J27" r:id="rId17" location="searchVariation=MLA15236638&amp;position=4&amp;search_layout=stack&amp;type=product&amp;tracking_id=2d00063a-dfb2-447d-a803-f368083398ba" display="https://www.mercadolibre.com.ar/aire-acondicionado-bgh-silent-air-split-friocalor-3000-frigorias-blanco-220v-bs35wccr/p/MLA15236638?pdp_filters=category:MLA1644#searchVariation=MLA15236638&amp;position=4&amp;search_layout=stack&amp;type=product&amp;tracking_id=2d00063a-dfb2-447d-a803-f368083398ba" xr:uid="{00000000-0004-0000-0200-000010000000}"/>
    <hyperlink ref="J28" r:id="rId18" location="searchVariation=56919293610&amp;position=5&amp;search_layout=stack&amp;type=item&amp;tracking_id=2dcb0302-3d42-48d3-b922-e455ebd5abd0" display="https://articulo.mercadolibre.com.ar/MLA-858573288-ficheros-metalicos-archiveros-blancos-4-cajones-ccerradura-_JM?searchVariation=56919293610#searchVariation=56919293610&amp;position=5&amp;search_layout=stack&amp;type=item&amp;tracking_id=2dcb0302-3d42-48d3-b922-e455ebd5abd0" xr:uid="{00000000-0004-0000-0200-000011000000}"/>
    <hyperlink ref="J29" r:id="rId19" location="position=30&amp;search_layout=grid&amp;type=item&amp;tracking_id=2695396b-71bf-45d5-878c-fb124a4c2109" xr:uid="{00000000-0004-0000-0200-000012000000}"/>
    <hyperlink ref="J30" r:id="rId20" location="searchVariation=41331184008&amp;position=15&amp;search_layout=stack&amp;type=item&amp;tracking_id=39774f05-faff-49d4-a5e6-3be9f4ff20dc" display="https://articulo.mercadolibre.com.ar/MLA-706670649-telefono-digital-kx-dt543-panasonic-operadora-kx-ns500-s1000-_JM?searchVariation=41331184008#searchVariation=41331184008&amp;position=15&amp;search_layout=stack&amp;type=item&amp;tracking_id=39774f05-faff-49d4-a5e6-3be9f4ff20dc" xr:uid="{00000000-0004-0000-0200-000013000000}"/>
    <hyperlink ref="J31" r:id="rId21" location="searchVariation=MLA15566983&amp;position=8&amp;search_layout=stack&amp;type=pad&amp;tracking_id=cd6bd11d-39ed-47f2-a655-8e8284deccdc" xr:uid="{00000000-0004-0000-0200-000014000000}"/>
    <hyperlink ref="J32" r:id="rId22" location="searchVariation=MLA16139810&amp;position=5&amp;search_layout=stack&amp;type=pad&amp;tracking_id=72945207-d523-46b6-830e-ac4c12bca800" display="https://www.mercadolibre.com.ar/access-point-router-sistema-wi-fi-mesh-tp-link-deco-x20-blanco-220v-3-unidades/p/MLA16139810?pdp_filters=item_id:MLA1101098646#searchVariation=MLA16139810&amp;position=5&amp;search_layout=stack&amp;type=pad&amp;tracking_id=72945207-d523-46b6-830e-ac4c12bca800" xr:uid="{00000000-0004-0000-0200-000015000000}"/>
    <hyperlink ref="J34" r:id="rId23" location="searchVariation=MLA18193159&amp;position=5&amp;search_layout=grid&amp;type=product&amp;tracking_id=3f10c288-7ea5-4a6b-a686-450d071ff337" xr:uid="{00000000-0004-0000-0200-000016000000}"/>
    <hyperlink ref="J35" r:id="rId24" location="position=7&amp;search_layout=stack&amp;type=item&amp;tracking_id=d1ee47a8-8dfe-477c-8e03-f5df68993a35" xr:uid="{00000000-0004-0000-0200-000017000000}"/>
    <hyperlink ref="J37" r:id="rId25" location="searchVariation=MLA18961409&amp;position=6&amp;search_layout=grid&amp;type=product&amp;tracking_id=d90976b1-8800-45bf-ad02-de8dd2064b7d" xr:uid="{00000000-0004-0000-0200-000018000000}"/>
    <hyperlink ref="J38" r:id="rId26" location="searchVariation=MLA18647649&amp;position=2&amp;search_layout=stack&amp;type=product&amp;tracking_id=4bd7af67-914c-4ca8-8474-6a094ed68f16" xr:uid="{00000000-0004-0000-0200-000019000000}"/>
    <hyperlink ref="J39" r:id="rId27" location="position=4&amp;search_layout=stack&amp;type=item&amp;tracking_id=5245761b-b31c-43fc-9ca3-8e398ae49861" xr:uid="{00000000-0004-0000-0200-00001A000000}"/>
    <hyperlink ref="J40" r:id="rId28" location="position=4&amp;search_layout=stack&amp;type=item&amp;tracking_id=e2dcc140-885c-4d51-b2a0-e1e0d11341e7" xr:uid="{00000000-0004-0000-0200-00001B000000}"/>
    <hyperlink ref="J41" r:id="rId29" location="position=13&amp;search_layout=stack&amp;type=item&amp;tracking_id=c59ddc4f-4975-45de-8d49-a84c0ae40133" xr:uid="{00000000-0004-0000-0200-00001C000000}"/>
    <hyperlink ref="J42" r:id="rId30" location="position=1&amp;search_layout=stack&amp;type=pad&amp;tracking_id=f1d51853-9287-44fc-a55c-7db4785c8ca8%23position=1&amp;search_layout=stack&amp;type=pad&amp;tracking_id=f1d51853-9287-44fc-a55c-7db4785c8ca8&amp;is_advertising=true&amp;ad_domain=VQCATCORE_LST&amp;ad_position=1&amp;ad_click_id=ZmUyM" xr:uid="{00000000-0004-0000-0200-00001D000000}"/>
    <hyperlink ref="J51" r:id="rId31" xr:uid="{00000000-0004-0000-0200-00001E000000}"/>
    <hyperlink ref="J52" r:id="rId32" xr:uid="{00000000-0004-0000-0200-00001F000000}"/>
    <hyperlink ref="J53" r:id="rId33" xr:uid="{00000000-0004-0000-0200-000020000000}"/>
    <hyperlink ref="J54" r:id="rId34" xr:uid="{00000000-0004-0000-0200-000021000000}"/>
    <hyperlink ref="J55" r:id="rId35" xr:uid="{00000000-0004-0000-0200-000022000000}"/>
  </hyperlinks>
  <pageMargins left="0.7" right="0.7" top="0.75" bottom="0.75" header="0.511811023622047" footer="0.511811023622047"/>
  <pageSetup paperSize="9" orientation="portrait" horizontalDpi="300" verticalDpi="300"/>
  <legacyDrawing r:id="rId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FAADC"/>
    <pageSetUpPr fitToPage="1"/>
  </sheetPr>
  <dimension ref="A1:I26"/>
  <sheetViews>
    <sheetView zoomScale="80" zoomScaleNormal="80" workbookViewId="0">
      <selection activeCell="F23" sqref="F23"/>
    </sheetView>
  </sheetViews>
  <sheetFormatPr baseColWidth="10" defaultColWidth="11.33203125" defaultRowHeight="13.2" x14ac:dyDescent="0.25"/>
  <cols>
    <col min="1" max="1" width="28" customWidth="1"/>
    <col min="2" max="2" width="13.6640625" customWidth="1"/>
    <col min="3" max="4" width="17.109375" customWidth="1"/>
    <col min="5" max="5" width="14.88671875" customWidth="1"/>
    <col min="6" max="6" width="15" customWidth="1"/>
    <col min="7" max="7" width="16" bestFit="1" customWidth="1"/>
    <col min="8" max="8" width="13.6640625" customWidth="1"/>
    <col min="9" max="9" width="17.109375" customWidth="1"/>
    <col min="10" max="10" width="17.33203125" customWidth="1"/>
  </cols>
  <sheetData>
    <row r="1" spans="1:9" x14ac:dyDescent="0.25">
      <c r="A1" s="281" t="s">
        <v>405</v>
      </c>
      <c r="G1" s="282">
        <f>InfoInicial!E1</f>
        <v>11</v>
      </c>
    </row>
    <row r="3" spans="1:9" ht="15.6" x14ac:dyDescent="0.3">
      <c r="A3" s="296" t="s">
        <v>406</v>
      </c>
      <c r="B3" s="297"/>
      <c r="C3" s="297"/>
      <c r="D3" s="297"/>
      <c r="E3" s="297"/>
      <c r="F3" s="297"/>
      <c r="G3" s="297"/>
      <c r="H3" s="297"/>
      <c r="I3" s="298"/>
    </row>
    <row r="4" spans="1:9" ht="26.4" x14ac:dyDescent="0.25">
      <c r="A4" s="299" t="s">
        <v>407</v>
      </c>
      <c r="B4" s="300" t="s">
        <v>408</v>
      </c>
      <c r="C4" s="300" t="s">
        <v>409</v>
      </c>
      <c r="D4" s="301" t="s">
        <v>92</v>
      </c>
      <c r="E4" s="301" t="s">
        <v>284</v>
      </c>
      <c r="F4" s="301" t="s">
        <v>285</v>
      </c>
      <c r="G4" s="301" t="s">
        <v>286</v>
      </c>
      <c r="H4" s="302" t="s">
        <v>287</v>
      </c>
      <c r="I4" s="303" t="s">
        <v>410</v>
      </c>
    </row>
    <row r="5" spans="1:9" x14ac:dyDescent="0.25">
      <c r="A5" s="304" t="s">
        <v>411</v>
      </c>
      <c r="B5" s="305">
        <f>+'E-Cal Inv.'!B8+'E-Cal Inv.'!B18</f>
        <v>200000</v>
      </c>
      <c r="C5" s="305"/>
      <c r="D5" s="305"/>
      <c r="E5" s="305"/>
      <c r="F5" s="305"/>
      <c r="G5" s="305"/>
      <c r="H5" s="306"/>
      <c r="I5" s="307"/>
    </row>
    <row r="6" spans="1:9" x14ac:dyDescent="0.25">
      <c r="A6" s="308" t="s">
        <v>412</v>
      </c>
      <c r="B6" s="309"/>
      <c r="C6" s="309">
        <f>+'E-Inv AF y Am'!B21</f>
        <v>288045648.59719163</v>
      </c>
      <c r="D6" s="309"/>
      <c r="E6" s="309"/>
      <c r="F6" s="309"/>
      <c r="G6" s="309"/>
      <c r="H6" s="310"/>
      <c r="I6" s="311">
        <f>+SUM(B6:H6)</f>
        <v>288045648.59719163</v>
      </c>
    </row>
    <row r="7" spans="1:9" x14ac:dyDescent="0.25">
      <c r="A7" s="308" t="s">
        <v>413</v>
      </c>
      <c r="B7" s="309">
        <f>'E-Inv AF y Am'!B24</f>
        <v>200000</v>
      </c>
      <c r="C7" s="309">
        <f>+'E-Inv AF y Am'!B33-'E-Inv AF y Am'!B24</f>
        <v>4206145.2005760008</v>
      </c>
      <c r="D7" s="309">
        <f>'E-Inv AF y Am'!C33</f>
        <v>-12303766.803539043</v>
      </c>
      <c r="E7" s="309"/>
      <c r="F7" s="309"/>
      <c r="G7" s="309"/>
      <c r="H7" s="310"/>
      <c r="I7" s="311">
        <f>+SUM(B7:H7)</f>
        <v>-7897621.6029630424</v>
      </c>
    </row>
    <row r="8" spans="1:9" x14ac:dyDescent="0.25">
      <c r="A8" s="304" t="s">
        <v>414</v>
      </c>
      <c r="B8" s="309">
        <f t="shared" ref="B8:H8" si="0">B6+B7</f>
        <v>200000</v>
      </c>
      <c r="C8" s="309">
        <f t="shared" si="0"/>
        <v>292251793.79776764</v>
      </c>
      <c r="D8" s="309">
        <f t="shared" si="0"/>
        <v>-12303766.803539043</v>
      </c>
      <c r="E8" s="309">
        <f t="shared" si="0"/>
        <v>0</v>
      </c>
      <c r="F8" s="309">
        <f t="shared" si="0"/>
        <v>0</v>
      </c>
      <c r="G8" s="309">
        <f t="shared" si="0"/>
        <v>0</v>
      </c>
      <c r="H8" s="309">
        <f t="shared" si="0"/>
        <v>0</v>
      </c>
      <c r="I8" s="311">
        <f>+SUM(B8:H8)</f>
        <v>280148026.9942286</v>
      </c>
    </row>
    <row r="9" spans="1:9" x14ac:dyDescent="0.25">
      <c r="A9" s="308"/>
      <c r="B9" s="312"/>
      <c r="C9" s="312"/>
      <c r="D9" s="312"/>
      <c r="E9" s="312"/>
      <c r="F9" s="312"/>
      <c r="G9" s="312"/>
      <c r="H9" s="313"/>
      <c r="I9" s="314"/>
    </row>
    <row r="10" spans="1:9" x14ac:dyDescent="0.25">
      <c r="A10" s="304" t="s">
        <v>415</v>
      </c>
      <c r="B10" s="309"/>
      <c r="C10" s="309"/>
      <c r="D10" s="309"/>
      <c r="E10" s="309"/>
      <c r="F10" s="309"/>
      <c r="G10" s="309"/>
      <c r="H10" s="310"/>
      <c r="I10" s="311">
        <f t="shared" ref="I10:I18" si="1">SUM(B10:H10)</f>
        <v>0</v>
      </c>
    </row>
    <row r="11" spans="1:9" x14ac:dyDescent="0.25">
      <c r="A11" s="308" t="s">
        <v>416</v>
      </c>
      <c r="B11" s="309">
        <v>0</v>
      </c>
      <c r="C11" s="315">
        <f>+'E-InvAT'!B6</f>
        <v>3977625.6000000001</v>
      </c>
      <c r="D11" s="315">
        <f>+'E-InvAT'!C6-'E-InvAT'!B6</f>
        <v>15910502.4</v>
      </c>
      <c r="E11" s="309">
        <f>+'E-InvAT'!D6-'E-InvAT'!C6</f>
        <v>0</v>
      </c>
      <c r="F11" s="309">
        <f>+'E-InvAT'!E6-'E-InvAT'!D6</f>
        <v>0</v>
      </c>
      <c r="G11" s="309">
        <f>+'E-InvAT'!F6-'E-InvAT'!E6</f>
        <v>0</v>
      </c>
      <c r="H11" s="309">
        <f>+'E-InvAT'!G6-'E-InvAT'!F6</f>
        <v>0</v>
      </c>
      <c r="I11" s="311">
        <f t="shared" si="1"/>
        <v>19888128</v>
      </c>
    </row>
    <row r="12" spans="1:9" x14ac:dyDescent="0.25">
      <c r="A12" s="308" t="s">
        <v>417</v>
      </c>
      <c r="B12" s="309">
        <v>0</v>
      </c>
      <c r="C12" s="309"/>
      <c r="D12" s="309">
        <f>'E-InvAT'!C7</f>
        <v>81732032.876712322</v>
      </c>
      <c r="E12" s="309">
        <f>+'E-InvAT'!D7-'E-InvAT'!C7</f>
        <v>0</v>
      </c>
      <c r="F12" s="309">
        <f>+'E-InvAT'!E7-'E-InvAT'!D7</f>
        <v>81732032.876712322</v>
      </c>
      <c r="G12" s="309">
        <f>+'E-InvAT'!F7-'E-InvAT'!E7</f>
        <v>-81732032.876712322</v>
      </c>
      <c r="H12" s="309">
        <f>+'E-InvAT'!G7-'E-InvAT'!F7</f>
        <v>0</v>
      </c>
      <c r="I12" s="311">
        <f t="shared" si="1"/>
        <v>81732032.876712322</v>
      </c>
    </row>
    <row r="13" spans="1:9" x14ac:dyDescent="0.25">
      <c r="A13" s="308" t="s">
        <v>418</v>
      </c>
      <c r="B13" s="309"/>
      <c r="C13" s="309"/>
      <c r="D13" s="309"/>
      <c r="E13" s="309"/>
      <c r="F13" s="309"/>
      <c r="G13" s="309"/>
      <c r="H13" s="310"/>
      <c r="I13" s="311">
        <f t="shared" si="1"/>
        <v>0</v>
      </c>
    </row>
    <row r="14" spans="1:9" x14ac:dyDescent="0.25">
      <c r="A14" s="308" t="s">
        <v>419</v>
      </c>
      <c r="B14" s="309">
        <v>0</v>
      </c>
      <c r="C14" s="315">
        <f>+'E-InvAT'!B10</f>
        <v>61505543.841969207</v>
      </c>
      <c r="D14" s="309">
        <f>+'E-InvAT'!C10-'E-InvAT'!B10</f>
        <v>2439542.1907374263</v>
      </c>
      <c r="E14" s="309">
        <f>+'E-InvAT'!D10-'E-InvAT'!C10</f>
        <v>0</v>
      </c>
      <c r="F14" s="309">
        <f>+'E-InvAT'!E10-'E-InvAT'!D10</f>
        <v>0</v>
      </c>
      <c r="G14" s="309">
        <f>+'E-InvAT'!F10-'E-InvAT'!E10</f>
        <v>0</v>
      </c>
      <c r="H14" s="309">
        <f>+'E-InvAT'!G10-'E-InvAT'!F10</f>
        <v>0</v>
      </c>
      <c r="I14" s="311">
        <f t="shared" si="1"/>
        <v>63945086.032706633</v>
      </c>
    </row>
    <row r="15" spans="1:9" x14ac:dyDescent="0.25">
      <c r="A15" s="308" t="s">
        <v>420</v>
      </c>
      <c r="B15" s="309">
        <v>0</v>
      </c>
      <c r="C15" s="309">
        <f>+'E-InvAT'!B11</f>
        <v>5460656.9515691865</v>
      </c>
      <c r="D15" s="309">
        <f>+'E-InvAT'!C11-'E-InvAT'!B11</f>
        <v>1365164.2378922962</v>
      </c>
      <c r="E15" s="315">
        <f>+'E-InvAT'!D11-'E-InvAT'!C11</f>
        <v>0</v>
      </c>
      <c r="F15" s="309">
        <f>+'E-InvAT'!E11-'E-InvAT'!D11</f>
        <v>0</v>
      </c>
      <c r="G15" s="309">
        <f>+'E-InvAT'!F11-'E-InvAT'!E11</f>
        <v>0</v>
      </c>
      <c r="H15" s="309">
        <f>+'E-InvAT'!G11-'E-InvAT'!F11</f>
        <v>0</v>
      </c>
      <c r="I15" s="311">
        <f t="shared" si="1"/>
        <v>6825821.1894614827</v>
      </c>
    </row>
    <row r="16" spans="1:9" x14ac:dyDescent="0.25">
      <c r="A16" s="308" t="s">
        <v>421</v>
      </c>
      <c r="B16" s="309">
        <v>0</v>
      </c>
      <c r="C16">
        <v>0</v>
      </c>
      <c r="D16" s="309">
        <f>+'E-InvAT'!C12-'E-InvAT'!B12</f>
        <v>12479484.785987727</v>
      </c>
      <c r="E16" s="309">
        <f>+'E-InvAT'!D12-'E-InvAT'!C12</f>
        <v>-31991.035005062819</v>
      </c>
      <c r="F16" s="309">
        <f>+'E-InvAT'!E12-'E-InvAT'!D12</f>
        <v>0</v>
      </c>
      <c r="G16" s="309">
        <f>+'E-InvAT'!F12-'E-InvAT'!E12</f>
        <v>0</v>
      </c>
      <c r="H16" s="309">
        <f>+'E-InvAT'!G12-'E-InvAT'!F12</f>
        <v>0</v>
      </c>
      <c r="I16" s="311">
        <f t="shared" si="1"/>
        <v>12447493.750982665</v>
      </c>
    </row>
    <row r="17" spans="1:9" x14ac:dyDescent="0.25">
      <c r="A17" s="308" t="s">
        <v>422</v>
      </c>
      <c r="B17" s="309">
        <v>0</v>
      </c>
      <c r="C17" s="309"/>
      <c r="D17" s="309"/>
      <c r="E17" s="309"/>
      <c r="F17" s="309"/>
      <c r="G17" s="309"/>
      <c r="H17" s="310"/>
      <c r="I17" s="311">
        <f t="shared" si="1"/>
        <v>0</v>
      </c>
    </row>
    <row r="18" spans="1:9" x14ac:dyDescent="0.25">
      <c r="A18" s="304" t="s">
        <v>423</v>
      </c>
      <c r="B18" s="309">
        <f t="shared" ref="B18:H18" si="2">SUM(B11:B17)</f>
        <v>0</v>
      </c>
      <c r="C18" s="309">
        <f t="shared" si="2"/>
        <v>70943826.393538401</v>
      </c>
      <c r="D18" s="309">
        <f t="shared" si="2"/>
        <v>113926726.49132979</v>
      </c>
      <c r="E18" s="309">
        <f t="shared" si="2"/>
        <v>-31991.035005062819</v>
      </c>
      <c r="F18" s="309">
        <f t="shared" si="2"/>
        <v>81732032.876712322</v>
      </c>
      <c r="G18" s="309">
        <f t="shared" si="2"/>
        <v>-81732032.876712322</v>
      </c>
      <c r="H18" s="309">
        <f t="shared" si="2"/>
        <v>0</v>
      </c>
      <c r="I18" s="311">
        <f t="shared" si="1"/>
        <v>184838561.84986314</v>
      </c>
    </row>
    <row r="19" spans="1:9" x14ac:dyDescent="0.25">
      <c r="A19" s="308"/>
      <c r="B19" s="312"/>
      <c r="C19" s="312"/>
      <c r="D19" s="312"/>
      <c r="E19" s="312"/>
      <c r="F19" s="312"/>
      <c r="G19" s="312"/>
      <c r="H19" s="313"/>
      <c r="I19" s="314"/>
    </row>
    <row r="20" spans="1:9" x14ac:dyDescent="0.25">
      <c r="A20" s="304" t="s">
        <v>424</v>
      </c>
      <c r="B20" s="312"/>
      <c r="C20" s="312"/>
      <c r="D20" s="312"/>
      <c r="E20" s="312"/>
      <c r="F20" s="312"/>
      <c r="G20" s="312"/>
      <c r="H20" s="313"/>
      <c r="I20" s="314"/>
    </row>
    <row r="21" spans="1:9" x14ac:dyDescent="0.25">
      <c r="A21" s="308" t="s">
        <v>425</v>
      </c>
      <c r="B21" s="309">
        <f>B8*InfoInicial!$B$3</f>
        <v>42000</v>
      </c>
      <c r="C21" s="309">
        <f>C8*InfoInicial!$B$3</f>
        <v>61372876.697531201</v>
      </c>
      <c r="D21" s="309">
        <f>D8*InfoInicial!$B$3</f>
        <v>-2583791.0287431991</v>
      </c>
      <c r="E21" s="309">
        <f>E8*InfoInicial!$B$3</f>
        <v>0</v>
      </c>
      <c r="F21" s="309">
        <f>F8*InfoInicial!$B$3</f>
        <v>0</v>
      </c>
      <c r="G21" s="309">
        <f>G8*InfoInicial!$B$3</f>
        <v>0</v>
      </c>
      <c r="H21" s="309">
        <f>H8*InfoInicial!$B$3</f>
        <v>0</v>
      </c>
      <c r="I21" s="311">
        <f>SUM(B21:H21)</f>
        <v>58831085.668788001</v>
      </c>
    </row>
    <row r="22" spans="1:9" x14ac:dyDescent="0.25">
      <c r="A22" s="308" t="s">
        <v>426</v>
      </c>
      <c r="B22" s="309">
        <f>+B18*InfoInicial!$B$3</f>
        <v>0</v>
      </c>
      <c r="C22" s="309">
        <f>+C18*InfoInicial!$B$3</f>
        <v>14898203.542643063</v>
      </c>
      <c r="D22" s="309">
        <f>+D18*InfoInicial!$B$3</f>
        <v>23924612.563179255</v>
      </c>
      <c r="E22" s="309">
        <f>+E18*InfoInicial!$B$3</f>
        <v>-6718.1173510631916</v>
      </c>
      <c r="F22" s="309">
        <f>+F18*InfoInicial!$B$3</f>
        <v>17163726.904109586</v>
      </c>
      <c r="G22" s="309">
        <f>+G18*InfoInicial!$B$3</f>
        <v>-17163726.904109586</v>
      </c>
      <c r="H22" s="309">
        <f>+H18*InfoInicial!$B$3</f>
        <v>0</v>
      </c>
      <c r="I22" s="311">
        <f>SUM(B22:H22)</f>
        <v>38816097.988471255</v>
      </c>
    </row>
    <row r="23" spans="1:9" x14ac:dyDescent="0.25">
      <c r="A23" s="304" t="s">
        <v>427</v>
      </c>
      <c r="B23" s="309">
        <f t="shared" ref="B23:H23" si="3">SUM(B21:B22)</f>
        <v>42000</v>
      </c>
      <c r="C23" s="309">
        <f t="shared" si="3"/>
        <v>76271080.240174264</v>
      </c>
      <c r="D23" s="309">
        <f t="shared" si="3"/>
        <v>21340821.534436055</v>
      </c>
      <c r="E23" s="309">
        <f t="shared" si="3"/>
        <v>-6718.1173510631916</v>
      </c>
      <c r="F23" s="309">
        <f t="shared" si="3"/>
        <v>17163726.904109586</v>
      </c>
      <c r="G23" s="309">
        <f t="shared" si="3"/>
        <v>-17163726.904109586</v>
      </c>
      <c r="H23" s="309">
        <f t="shared" si="3"/>
        <v>0</v>
      </c>
      <c r="I23" s="311">
        <f>SUM(B23:H23)</f>
        <v>97647183.657259241</v>
      </c>
    </row>
    <row r="24" spans="1:9" x14ac:dyDescent="0.25">
      <c r="A24" s="304"/>
      <c r="B24" s="312"/>
      <c r="C24" s="312"/>
      <c r="D24" s="312"/>
      <c r="E24" s="312"/>
      <c r="F24" s="312"/>
      <c r="G24" s="312"/>
      <c r="H24" s="313"/>
      <c r="I24" s="311"/>
    </row>
    <row r="25" spans="1:9" ht="13.8" thickBot="1" x14ac:dyDescent="0.3">
      <c r="A25" s="316" t="s">
        <v>428</v>
      </c>
      <c r="B25" s="317">
        <f t="shared" ref="B25:H25" si="4">B8+B18+B23</f>
        <v>242000</v>
      </c>
      <c r="C25" s="317">
        <f t="shared" si="4"/>
        <v>439466700.43148029</v>
      </c>
      <c r="D25" s="317">
        <f t="shared" si="4"/>
        <v>122963781.2222268</v>
      </c>
      <c r="E25" s="317">
        <f t="shared" si="4"/>
        <v>-38709.152356126011</v>
      </c>
      <c r="F25" s="317">
        <f t="shared" si="4"/>
        <v>98895759.780821905</v>
      </c>
      <c r="G25" s="317">
        <f t="shared" si="4"/>
        <v>-98895759.780821905</v>
      </c>
      <c r="H25" s="317">
        <f t="shared" si="4"/>
        <v>0</v>
      </c>
      <c r="I25" s="496">
        <f>SUM(B25:H25)</f>
        <v>562633772.50135088</v>
      </c>
    </row>
    <row r="26" spans="1:9" ht="13.8" thickTop="1" x14ac:dyDescent="0.25"/>
  </sheetData>
  <pageMargins left="0.25972222222222202" right="0.45972222222222198" top="1.27013888888889" bottom="1" header="0.511811023622047" footer="0.511811023622047"/>
  <pageSetup paperSize="9" fitToHeight="4" orientation="landscape" horizontalDpi="300" verticalDpi="30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FAADC"/>
    <pageSetUpPr fitToPage="1"/>
  </sheetPr>
  <dimension ref="A3:I204"/>
  <sheetViews>
    <sheetView topLeftCell="A83" zoomScale="90" zoomScaleNormal="90" workbookViewId="0">
      <selection activeCell="D105" sqref="D105"/>
    </sheetView>
  </sheetViews>
  <sheetFormatPr baseColWidth="10" defaultColWidth="11.33203125" defaultRowHeight="13.2" x14ac:dyDescent="0.25"/>
  <cols>
    <col min="1" max="1" width="40.6640625" customWidth="1"/>
    <col min="2" max="2" width="34.88671875" customWidth="1"/>
    <col min="3" max="3" width="21.33203125" customWidth="1"/>
    <col min="4" max="4" width="22.44140625" customWidth="1"/>
    <col min="5" max="5" width="21.33203125" customWidth="1"/>
    <col min="6" max="6" width="18" bestFit="1" customWidth="1"/>
    <col min="7" max="7" width="17.33203125" customWidth="1"/>
  </cols>
  <sheetData>
    <row r="3" spans="1:9" x14ac:dyDescent="0.25">
      <c r="A3" s="281" t="s">
        <v>405</v>
      </c>
      <c r="E3" s="282">
        <f>InfoInicial!E1</f>
        <v>11</v>
      </c>
    </row>
    <row r="4" spans="1:9" ht="15.6" x14ac:dyDescent="0.3">
      <c r="A4" s="296" t="s">
        <v>429</v>
      </c>
      <c r="B4" s="297"/>
      <c r="C4" s="297"/>
      <c r="D4" s="297"/>
      <c r="E4" s="297"/>
      <c r="F4" s="298"/>
    </row>
    <row r="5" spans="1:9" x14ac:dyDescent="0.25">
      <c r="A5" s="299"/>
      <c r="B5" s="318" t="s">
        <v>430</v>
      </c>
      <c r="C5" s="318"/>
      <c r="E5" s="318"/>
      <c r="F5" s="319"/>
    </row>
    <row r="6" spans="1:9" x14ac:dyDescent="0.25">
      <c r="A6" s="299" t="s">
        <v>407</v>
      </c>
      <c r="B6" s="301" t="s">
        <v>92</v>
      </c>
      <c r="C6" s="301" t="s">
        <v>284</v>
      </c>
      <c r="D6" s="301" t="s">
        <v>285</v>
      </c>
      <c r="E6" s="301" t="s">
        <v>286</v>
      </c>
      <c r="F6" s="303" t="s">
        <v>287</v>
      </c>
    </row>
    <row r="7" spans="1:9" x14ac:dyDescent="0.25">
      <c r="A7" s="320" t="s">
        <v>431</v>
      </c>
      <c r="B7" s="321">
        <f>+'DATA E-COSTOS'!B101</f>
        <v>427582387.36673403</v>
      </c>
      <c r="C7" s="321">
        <f>+'DATA E-COSTOS'!C101</f>
        <v>565440406.07086921</v>
      </c>
      <c r="D7" s="321">
        <f>+'DATA E-COSTOS'!C101</f>
        <v>565440406.07086921</v>
      </c>
      <c r="E7" s="321">
        <f>+'DATA E-COSTOS'!C101</f>
        <v>565440406.07086921</v>
      </c>
      <c r="F7" s="322">
        <f>+'DATA E-COSTOS'!C101</f>
        <v>565440406.07086921</v>
      </c>
    </row>
    <row r="8" spans="1:9" x14ac:dyDescent="0.25">
      <c r="A8" s="323" t="s">
        <v>432</v>
      </c>
      <c r="B8" s="324">
        <f>+'DATA E-COSTOS'!B30</f>
        <v>0</v>
      </c>
      <c r="C8" s="324">
        <f>+'DATA E-COSTOS'!$G$25</f>
        <v>32509085.699999999</v>
      </c>
      <c r="D8" s="324">
        <f>+'DATA E-COSTOS'!$G$25*I12</f>
        <v>16254542.85</v>
      </c>
      <c r="E8" s="324">
        <f>+'DATA E-COSTOS'!$G$25</f>
        <v>32509085.699999999</v>
      </c>
      <c r="F8" s="325">
        <f>+'DATA E-COSTOS'!$G$25</f>
        <v>32509085.699999999</v>
      </c>
    </row>
    <row r="9" spans="1:9" x14ac:dyDescent="0.25">
      <c r="A9" s="326" t="s">
        <v>433</v>
      </c>
      <c r="B9" s="327"/>
      <c r="C9" s="327"/>
      <c r="D9" s="327"/>
      <c r="E9" s="327"/>
      <c r="F9" s="328"/>
      <c r="H9" t="s">
        <v>434</v>
      </c>
      <c r="I9" t="s">
        <v>435</v>
      </c>
    </row>
    <row r="10" spans="1:9" x14ac:dyDescent="0.25">
      <c r="A10" s="329" t="s">
        <v>436</v>
      </c>
      <c r="B10" s="309">
        <f>+'E-Inv AF y Am'!$D$57*$H$10</f>
        <v>10854323.050649986</v>
      </c>
      <c r="C10" s="309">
        <f>+'E-Inv AF y Am'!$D$57*$H$10</f>
        <v>10854323.050649986</v>
      </c>
      <c r="D10" s="309">
        <f>+'E-Inv AF y Am'!$D$57*$H$10</f>
        <v>10854323.050649986</v>
      </c>
      <c r="E10" s="309">
        <f>+'E-Inv AF y Am'!$D$57*$H$10</f>
        <v>10854323.050649986</v>
      </c>
      <c r="F10" s="322">
        <f>+'E-Inv AF y Am'!$D$57*$H$10</f>
        <v>10854323.050649986</v>
      </c>
      <c r="H10" s="23">
        <v>0.9</v>
      </c>
    </row>
    <row r="11" spans="1:9" x14ac:dyDescent="0.25">
      <c r="A11" s="329" t="s">
        <v>437</v>
      </c>
      <c r="B11" s="309">
        <f>+'DATA E-COSTOS'!B44</f>
        <v>18232500</v>
      </c>
      <c r="C11" s="309">
        <f>+'DATA E-COSTOS'!$G$40</f>
        <v>21450000</v>
      </c>
      <c r="D11" s="309">
        <f>+'DATA E-COSTOS'!$G$40*I12</f>
        <v>10725000</v>
      </c>
      <c r="E11" s="309">
        <f>+'DATA E-COSTOS'!$G$40</f>
        <v>21450000</v>
      </c>
      <c r="F11" s="322">
        <f>+'DATA E-COSTOS'!$G$40</f>
        <v>21450000</v>
      </c>
    </row>
    <row r="12" spans="1:9" x14ac:dyDescent="0.25">
      <c r="A12" s="330" t="s">
        <v>278</v>
      </c>
      <c r="B12" s="321">
        <f>+'DATA E-COSTOS'!C220</f>
        <v>13403430.699306183</v>
      </c>
      <c r="C12" s="321">
        <f>+'DATA E-COSTOS'!D220</f>
        <v>13403430.699306183</v>
      </c>
      <c r="D12" s="321">
        <f>+'DATA E-COSTOS'!D220*(1-I13)</f>
        <v>12063087.629375564</v>
      </c>
      <c r="E12" s="321">
        <f>+'DATA E-COSTOS'!D220</f>
        <v>13403430.699306183</v>
      </c>
      <c r="F12" s="322">
        <f>+'DATA E-COSTOS'!D220</f>
        <v>13403430.699306183</v>
      </c>
      <c r="H12" t="s">
        <v>438</v>
      </c>
      <c r="I12" s="618">
        <v>0.5</v>
      </c>
    </row>
    <row r="13" spans="1:9" x14ac:dyDescent="0.25">
      <c r="A13" s="329" t="s">
        <v>439</v>
      </c>
      <c r="B13" s="309">
        <f>+'DATA E-COSTOS'!D177</f>
        <v>2999834.9095443198</v>
      </c>
      <c r="C13" s="309">
        <f>+'DATA E-COSTOS'!$D$151</f>
        <v>3156441.0166255999</v>
      </c>
      <c r="D13" s="309">
        <f>+'DATA E-COSTOS'!$D$151*(1-I13)</f>
        <v>2840796.91496304</v>
      </c>
      <c r="E13" s="309">
        <f>+'DATA E-COSTOS'!$D$151</f>
        <v>3156441.0166255999</v>
      </c>
      <c r="F13" s="322">
        <f>+'DATA E-COSTOS'!$D$151</f>
        <v>3156441.0166255999</v>
      </c>
      <c r="H13" t="s">
        <v>440</v>
      </c>
      <c r="I13" s="556">
        <v>0.1</v>
      </c>
    </row>
    <row r="14" spans="1:9" x14ac:dyDescent="0.25">
      <c r="A14" s="330" t="s">
        <v>441</v>
      </c>
      <c r="B14" s="321">
        <f>+'DATA E-COSTOS'!B236</f>
        <v>228000</v>
      </c>
      <c r="C14" s="321">
        <f>+'DATA E-COSTOS'!C236</f>
        <v>228000</v>
      </c>
      <c r="D14" s="321">
        <f>+'DATA E-COSTOS'!C236*(1-I13)</f>
        <v>205200</v>
      </c>
      <c r="E14" s="321">
        <f>+'DATA E-COSTOS'!C236</f>
        <v>228000</v>
      </c>
      <c r="F14" s="322">
        <f>+'DATA E-COSTOS'!C236</f>
        <v>228000</v>
      </c>
      <c r="H14" t="s">
        <v>442</v>
      </c>
      <c r="I14" s="556">
        <v>0.05</v>
      </c>
    </row>
    <row r="15" spans="1:9" x14ac:dyDescent="0.25">
      <c r="A15" s="329" t="s">
        <v>443</v>
      </c>
      <c r="B15" s="309">
        <f>+'DATA E-COSTOS'!$B$204</f>
        <v>3366000.9250560007</v>
      </c>
      <c r="C15" s="309">
        <f>+'DATA E-COSTOS'!$B$204</f>
        <v>3366000.9250560007</v>
      </c>
      <c r="D15" s="309">
        <f>+'DATA E-COSTOS'!$B$204*(1-I13)</f>
        <v>3029400.8325504009</v>
      </c>
      <c r="E15" s="309">
        <f>+'DATA E-COSTOS'!$B$204</f>
        <v>3366000.9250560007</v>
      </c>
      <c r="F15" s="322">
        <f>+'DATA E-COSTOS'!$B$204</f>
        <v>3366000.9250560007</v>
      </c>
    </row>
    <row r="16" spans="1:9" x14ac:dyDescent="0.25">
      <c r="A16" s="330" t="s">
        <v>444</v>
      </c>
      <c r="B16" s="321">
        <f>+'DATA E-COSTOS'!B247</f>
        <v>360000</v>
      </c>
      <c r="C16" s="321">
        <f>+'DATA E-COSTOS'!C247</f>
        <v>360000</v>
      </c>
      <c r="D16" s="321">
        <f>+'DATA E-COSTOS'!C247*(1-I13)</f>
        <v>324000</v>
      </c>
      <c r="E16" s="321">
        <f>+'DATA E-COSTOS'!C247</f>
        <v>360000</v>
      </c>
      <c r="F16" s="322">
        <f>+'DATA E-COSTOS'!C247</f>
        <v>360000</v>
      </c>
    </row>
    <row r="17" spans="1:7" x14ac:dyDescent="0.25">
      <c r="A17" s="330" t="s">
        <v>445</v>
      </c>
      <c r="B17" s="321">
        <f>+'DATA E-COSTOS'!B257</f>
        <v>180000</v>
      </c>
      <c r="C17" s="321">
        <f>+'DATA E-COSTOS'!C257</f>
        <v>180000</v>
      </c>
      <c r="D17" s="321">
        <f>+'DATA E-COSTOS'!C257*(1-I13)</f>
        <v>162000</v>
      </c>
      <c r="E17" s="321">
        <f>+'DATA E-COSTOS'!C257</f>
        <v>180000</v>
      </c>
      <c r="F17" s="322">
        <f>+'DATA E-COSTOS'!C257</f>
        <v>180000</v>
      </c>
    </row>
    <row r="18" spans="1:7" x14ac:dyDescent="0.25">
      <c r="A18" s="331" t="s">
        <v>446</v>
      </c>
      <c r="B18" s="309">
        <f>+'DATA E-COSTOS'!$B$286</f>
        <v>0</v>
      </c>
      <c r="C18" s="309">
        <f>+'DATA E-COSTOS'!$C$286</f>
        <v>0</v>
      </c>
      <c r="D18" s="309">
        <f>+'DATA E-COSTOS'!$C$286</f>
        <v>0</v>
      </c>
      <c r="E18" s="309">
        <f>+'DATA E-COSTOS'!$C$286</f>
        <v>0</v>
      </c>
      <c r="F18" s="311">
        <f>+'DATA E-COSTOS'!$C$286</f>
        <v>0</v>
      </c>
    </row>
    <row r="19" spans="1:7" x14ac:dyDescent="0.25">
      <c r="A19" s="331" t="s">
        <v>447</v>
      </c>
      <c r="B19" s="309"/>
      <c r="C19" s="309"/>
      <c r="D19" s="309"/>
      <c r="E19" s="309"/>
      <c r="F19" s="311"/>
    </row>
    <row r="20" spans="1:7" x14ac:dyDescent="0.25">
      <c r="A20" s="331" t="s">
        <v>447</v>
      </c>
      <c r="B20" s="309"/>
      <c r="C20" s="309"/>
      <c r="D20" s="309"/>
      <c r="E20" s="309"/>
      <c r="F20" s="311"/>
    </row>
    <row r="21" spans="1:7" x14ac:dyDescent="0.25">
      <c r="A21" s="332" t="s">
        <v>448</v>
      </c>
      <c r="B21" s="309">
        <f>+SUM(B7:B8,B10:B17)*InfoInicial!$B$14</f>
        <v>42948582.925616145</v>
      </c>
      <c r="C21" s="309">
        <f>+SUM(C7:C8,C10:C17)*InfoInicial!$B$14</f>
        <v>58585291.871625632</v>
      </c>
      <c r="D21" s="309">
        <f>+SUM(D7:D8,D10:D17)*InfoInicial!$B$14</f>
        <v>55970888.16135674</v>
      </c>
      <c r="E21" s="309">
        <f>+SUM(E7:E8,E10:E17)*InfoInicial!$B$14</f>
        <v>58585291.871625632</v>
      </c>
      <c r="F21" s="311">
        <f>+SUM(F7:F8,F10:F17)*InfoInicial!$B$14</f>
        <v>58585291.871625632</v>
      </c>
    </row>
    <row r="22" spans="1:7" x14ac:dyDescent="0.25">
      <c r="A22" s="333" t="s">
        <v>449</v>
      </c>
      <c r="B22" s="334">
        <f>SUM(B7:B21)</f>
        <v>520155059.87690669</v>
      </c>
      <c r="C22" s="334">
        <f>SUM(C7:C21)</f>
        <v>709532979.33413267</v>
      </c>
      <c r="D22" s="334">
        <f>SUM(D7:D21)</f>
        <v>677869645.50976491</v>
      </c>
      <c r="E22" s="334">
        <f>SUM(E7:E21)</f>
        <v>709532979.33413267</v>
      </c>
      <c r="F22" s="311">
        <f>SUM(F7:F21)</f>
        <v>709532979.33413267</v>
      </c>
    </row>
    <row r="23" spans="1:7" x14ac:dyDescent="0.25">
      <c r="A23" s="335"/>
      <c r="B23" s="336"/>
      <c r="C23" s="336"/>
      <c r="D23" s="336"/>
      <c r="E23" s="336"/>
      <c r="F23" s="337"/>
    </row>
    <row r="24" spans="1:7" x14ac:dyDescent="0.25">
      <c r="A24" s="338" t="s">
        <v>450</v>
      </c>
      <c r="B24" s="339">
        <f>+(B10+B11+B14+B15+B16+B17)/B22</f>
        <v>6.3867155273982346E-2</v>
      </c>
      <c r="C24" s="339">
        <f>+(C10+C11+C14+C15+C16+C17)/C22</f>
        <v>5.1355363368594718E-2</v>
      </c>
      <c r="D24" s="339">
        <f>+(D10+D11+D14+D15+D16+D17)/D22</f>
        <v>3.7322697735159067E-2</v>
      </c>
      <c r="E24" s="339">
        <f>+(E10+E11+E14+E15+E16+E17)/E22</f>
        <v>5.1355363368594718E-2</v>
      </c>
      <c r="F24" s="340">
        <f>+(F10+F11+F14+F15+F16+F17)/F22</f>
        <v>5.1355363368594718E-2</v>
      </c>
    </row>
    <row r="25" spans="1:7" x14ac:dyDescent="0.25">
      <c r="A25" s="341" t="s">
        <v>451</v>
      </c>
      <c r="B25" s="342">
        <f>+(B7+B8+B12+B13+B21)/B22</f>
        <v>0.93613284472601765</v>
      </c>
      <c r="C25" s="342">
        <f>+(C7+C8+C12+C13+C21)/C22</f>
        <v>0.9486446366314053</v>
      </c>
      <c r="D25" s="342">
        <f>+(D7+D8+D12+D13+D21)/D22</f>
        <v>0.96267730226484094</v>
      </c>
      <c r="E25" s="342">
        <f>+(E7+E8+E12+E13+E21)/E22</f>
        <v>0.9486446366314053</v>
      </c>
      <c r="F25" s="343">
        <f>+(F7+F8+F12+F13+F21)/F22</f>
        <v>0.9486446366314053</v>
      </c>
    </row>
    <row r="27" spans="1:7" x14ac:dyDescent="0.25">
      <c r="A27" s="320"/>
      <c r="B27" s="344" t="s">
        <v>452</v>
      </c>
      <c r="C27" s="344"/>
      <c r="D27" s="344"/>
      <c r="E27" s="344"/>
      <c r="F27" s="344"/>
      <c r="G27" s="345"/>
    </row>
    <row r="28" spans="1:7" x14ac:dyDescent="0.25">
      <c r="A28" s="299"/>
      <c r="B28" s="318" t="s">
        <v>453</v>
      </c>
      <c r="C28" s="318"/>
      <c r="D28" s="318"/>
      <c r="E28" s="318"/>
      <c r="F28" s="318"/>
      <c r="G28" s="346" t="s">
        <v>454</v>
      </c>
    </row>
    <row r="29" spans="1:7" x14ac:dyDescent="0.25">
      <c r="A29" s="299" t="s">
        <v>407</v>
      </c>
      <c r="B29" s="347" t="s">
        <v>92</v>
      </c>
      <c r="C29" s="347" t="s">
        <v>284</v>
      </c>
      <c r="D29" s="347" t="s">
        <v>285</v>
      </c>
      <c r="E29" s="347" t="s">
        <v>286</v>
      </c>
      <c r="F29" s="347" t="s">
        <v>287</v>
      </c>
      <c r="G29" s="348" t="s">
        <v>92</v>
      </c>
    </row>
    <row r="30" spans="1:7" x14ac:dyDescent="0.25">
      <c r="A30" s="326" t="s">
        <v>455</v>
      </c>
      <c r="B30" s="327">
        <f>+'DATA E-COSTOS'!B104</f>
        <v>11101564.244851783</v>
      </c>
      <c r="C30" s="327">
        <f>+'DATA E-COSTOS'!B104</f>
        <v>11101564.244851783</v>
      </c>
      <c r="D30" s="327">
        <f>+'DATA E-COSTOS'!B104</f>
        <v>11101564.244851783</v>
      </c>
      <c r="E30" s="327">
        <f>+'DATA E-COSTOS'!B104</f>
        <v>11101564.244851783</v>
      </c>
      <c r="F30" s="327">
        <f>+'DATA E-COSTOS'!B104</f>
        <v>11101564.244851783</v>
      </c>
      <c r="G30" s="349">
        <f>+'DATA E-COSTOS'!B105</f>
        <v>8798266.0164775103</v>
      </c>
    </row>
    <row r="31" spans="1:7" x14ac:dyDescent="0.25">
      <c r="A31" s="323" t="s">
        <v>432</v>
      </c>
      <c r="B31" s="324">
        <f>+'DATA E-COSTOS'!B32</f>
        <v>130036.96146324265</v>
      </c>
      <c r="C31" s="324">
        <f>+'DATA E-COSTOS'!B32</f>
        <v>130036.96146324265</v>
      </c>
      <c r="D31" s="324">
        <f>+'DATA E-COSTOS'!B32*I12</f>
        <v>65018.480731621326</v>
      </c>
      <c r="E31" s="324">
        <f>+'DATA E-COSTOS'!B32</f>
        <v>130036.96146324265</v>
      </c>
      <c r="F31" s="324">
        <f>+'DATA E-COSTOS'!B32</f>
        <v>130036.96146324265</v>
      </c>
      <c r="G31" s="350">
        <f>+'DATA E-COSTOS'!B33</f>
        <v>-23569089.149880141</v>
      </c>
    </row>
    <row r="32" spans="1:7" x14ac:dyDescent="0.25">
      <c r="A32" s="326" t="s">
        <v>433</v>
      </c>
      <c r="B32" s="351"/>
      <c r="C32" s="351"/>
      <c r="D32" s="351"/>
      <c r="E32" s="351"/>
      <c r="F32" s="351"/>
      <c r="G32" s="352"/>
    </row>
    <row r="33" spans="1:7" x14ac:dyDescent="0.25">
      <c r="A33" s="329" t="s">
        <v>436</v>
      </c>
      <c r="B33" s="309">
        <f>+'DATA E-COSTOS'!B117</f>
        <v>30109.220648104427</v>
      </c>
      <c r="C33" s="309">
        <f>+'DATA E-COSTOS'!B118</f>
        <v>21708.749382744998</v>
      </c>
      <c r="D33" s="309">
        <f>+'DATA E-COSTOS'!B118</f>
        <v>21708.749382744998</v>
      </c>
      <c r="E33" s="309">
        <f>+'DATA E-COSTOS'!B118</f>
        <v>21708.749382744998</v>
      </c>
      <c r="F33" s="309">
        <f>+'DATA E-COSTOS'!B118</f>
        <v>21708.749382744998</v>
      </c>
      <c r="G33" s="353">
        <v>0</v>
      </c>
    </row>
    <row r="34" spans="1:7" x14ac:dyDescent="0.25">
      <c r="A34" s="329" t="s">
        <v>437</v>
      </c>
      <c r="B34" s="309">
        <f>+'DATA E-COSTOS'!B46</f>
        <v>101151.65412064835</v>
      </c>
      <c r="C34" s="309">
        <f>+'DATA E-COSTOS'!G41</f>
        <v>85800.408203622748</v>
      </c>
      <c r="D34" s="309">
        <f>+'DATA E-COSTOS'!G41*I12</f>
        <v>42900.204101811374</v>
      </c>
      <c r="E34" s="309">
        <f>+'DATA E-COSTOS'!G41</f>
        <v>85800.408203622748</v>
      </c>
      <c r="F34" s="309">
        <f>+'DATA E-COSTOS'!G41</f>
        <v>85800.408203622748</v>
      </c>
      <c r="G34" s="353">
        <v>0</v>
      </c>
    </row>
    <row r="35" spans="1:7" x14ac:dyDescent="0.25">
      <c r="A35" s="329" t="s">
        <v>278</v>
      </c>
      <c r="B35" s="309">
        <f>+'DATA E-COSTOS'!C226</f>
        <v>53613.97787083633</v>
      </c>
      <c r="C35" s="309">
        <f>+'DATA E-COSTOS'!D226</f>
        <v>53613.97787083633</v>
      </c>
      <c r="D35" s="309">
        <f>+'DATA E-COSTOS'!D226*(1-I13)</f>
        <v>48252.580083752699</v>
      </c>
      <c r="E35" s="309">
        <f>+'DATA E-COSTOS'!D226</f>
        <v>53613.97787083633</v>
      </c>
      <c r="F35" s="309">
        <f>+'DATA E-COSTOS'!D226</f>
        <v>53613.97787083633</v>
      </c>
      <c r="G35" s="353">
        <f>+'DATA E-COSTOS'!C228</f>
        <v>3685942.6105474215</v>
      </c>
    </row>
    <row r="36" spans="1:7" x14ac:dyDescent="0.25">
      <c r="A36" s="329" t="s">
        <v>456</v>
      </c>
      <c r="B36" s="309">
        <f>+'DATA E-COSTOS'!C190</f>
        <v>12663.46628182765</v>
      </c>
      <c r="C36" s="309">
        <f>+'DATA E-COSTOS'!C156</f>
        <v>12625.824135064544</v>
      </c>
      <c r="D36" s="309">
        <f>+'DATA E-COSTOS'!C156*(1-I13)</f>
        <v>11363.24172155809</v>
      </c>
      <c r="E36" s="309">
        <f>+'DATA E-COSTOS'!C156</f>
        <v>12625.824135064544</v>
      </c>
      <c r="F36" s="309">
        <f>+'DATA E-COSTOS'!C156</f>
        <v>12625.824135064544</v>
      </c>
      <c r="G36" s="353">
        <f>+'DATA E-COSTOS'!C191</f>
        <v>729046.16249914281</v>
      </c>
    </row>
    <row r="37" spans="1:7" x14ac:dyDescent="0.25">
      <c r="A37" s="329" t="s">
        <v>457</v>
      </c>
      <c r="B37" s="309">
        <v>0</v>
      </c>
      <c r="C37" s="309">
        <v>0</v>
      </c>
      <c r="D37" s="309">
        <v>0</v>
      </c>
      <c r="E37" s="309">
        <v>0</v>
      </c>
      <c r="F37" s="309">
        <v>0</v>
      </c>
      <c r="G37" s="353">
        <v>0</v>
      </c>
    </row>
    <row r="38" spans="1:7" x14ac:dyDescent="0.25">
      <c r="A38" s="329" t="s">
        <v>441</v>
      </c>
      <c r="B38" s="309">
        <f>+'DATA E-COSTOS'!B241</f>
        <v>126.491578990856</v>
      </c>
      <c r="C38" s="309">
        <f>+'DATA E-COSTOS'!C241</f>
        <v>91.20043389475984</v>
      </c>
      <c r="D38" s="309">
        <f>+'DATA E-COSTOS'!C241*(1-I13)</f>
        <v>82.080390505283859</v>
      </c>
      <c r="E38" s="309">
        <f>+'DATA E-COSTOS'!C241</f>
        <v>91.20043389475984</v>
      </c>
      <c r="F38" s="309">
        <f>+'DATA E-COSTOS'!C241</f>
        <v>91.20043389475984</v>
      </c>
      <c r="G38" s="353">
        <v>0</v>
      </c>
    </row>
    <row r="39" spans="1:7" x14ac:dyDescent="0.25">
      <c r="A39" s="329" t="s">
        <v>458</v>
      </c>
      <c r="B39" s="309">
        <f>+'DATA E-COSTOS'!B209</f>
        <v>16806.740995855875</v>
      </c>
      <c r="C39" s="309">
        <f>+'DATA E-COSTOS'!C209</f>
        <v>12117.660981129091</v>
      </c>
      <c r="D39" s="309">
        <f>+'DATA E-COSTOS'!C209*(1-I13)</f>
        <v>10905.894883016183</v>
      </c>
      <c r="E39" s="309">
        <f>+'DATA E-COSTOS'!C209</f>
        <v>12117.660981129091</v>
      </c>
      <c r="F39" s="309">
        <f>+'DATA E-COSTOS'!C209</f>
        <v>12117.660981129091</v>
      </c>
      <c r="G39" s="353">
        <v>0</v>
      </c>
    </row>
    <row r="40" spans="1:7" x14ac:dyDescent="0.25">
      <c r="A40" s="329" t="s">
        <v>459</v>
      </c>
      <c r="B40" s="309">
        <f>+'DATA E-COSTOS'!B251+'DATA E-COSTOS'!B261+'DATA E-COSTOS'!B294</f>
        <v>2995.8531866255371</v>
      </c>
      <c r="C40" s="309">
        <f>+'DATA E-COSTOS'!$C$251+'DATA E-COSTOS'!$C$261+'DATA E-COSTOS'!$C$294</f>
        <v>2160.0102764548383</v>
      </c>
      <c r="D40" s="309">
        <f>(+'DATA E-COSTOS'!$C$251+'DATA E-COSTOS'!$C$261+'DATA E-COSTOS'!$C$294)*(1-I13)</f>
        <v>1944.0092488093544</v>
      </c>
      <c r="E40" s="309">
        <f>+'DATA E-COSTOS'!$C$251+'DATA E-COSTOS'!$C$261+'DATA E-COSTOS'!$C$294</f>
        <v>2160.0102764548383</v>
      </c>
      <c r="F40" s="309">
        <f>+'DATA E-COSTOS'!$C$251+'DATA E-COSTOS'!$C$261+'DATA E-COSTOS'!$C$294</f>
        <v>2160.0102764548383</v>
      </c>
      <c r="G40" s="353">
        <v>0</v>
      </c>
    </row>
    <row r="41" spans="1:7" x14ac:dyDescent="0.25">
      <c r="A41" s="354" t="s">
        <v>460</v>
      </c>
      <c r="B41" s="309">
        <f>+SUM(B30:B40)*InfoInicial!B14</f>
        <v>1030416.1749898123</v>
      </c>
      <c r="C41" s="309">
        <f>+SUM(C30:C40)*InfoInicial!B14</f>
        <v>1027774.7133838898</v>
      </c>
      <c r="D41" s="309">
        <f>+SUM(D30:D40)*InfoInicial!B14</f>
        <v>1017336.5536856042</v>
      </c>
      <c r="E41" s="309">
        <f>+SUM(D30:D40)*InfoInicial!B14</f>
        <v>1017336.5536856042</v>
      </c>
      <c r="F41" s="355">
        <f>+SUM(D30:D40)*InfoInicial!B14</f>
        <v>1017336.5536856042</v>
      </c>
      <c r="G41" s="353">
        <f>+SUM(G30:G40)*InfoInicial!B14</f>
        <v>-932025.09243204596</v>
      </c>
    </row>
    <row r="42" spans="1:7" x14ac:dyDescent="0.25">
      <c r="A42" s="341" t="s">
        <v>461</v>
      </c>
      <c r="B42" s="317">
        <f t="shared" ref="B42:G42" si="0">+SUM(B30:B41)</f>
        <v>12479484.785987727</v>
      </c>
      <c r="C42" s="317">
        <f t="shared" si="0"/>
        <v>12447493.750982665</v>
      </c>
      <c r="D42" s="317">
        <f t="shared" si="0"/>
        <v>12321076.039081207</v>
      </c>
      <c r="E42" s="317">
        <f t="shared" si="0"/>
        <v>12437055.591284379</v>
      </c>
      <c r="F42" s="317">
        <f t="shared" si="0"/>
        <v>12437055.591284379</v>
      </c>
      <c r="G42" s="356">
        <f t="shared" si="0"/>
        <v>-11287859.452788113</v>
      </c>
    </row>
    <row r="43" spans="1:7" x14ac:dyDescent="0.25">
      <c r="A43" s="294"/>
      <c r="B43" s="357"/>
      <c r="C43" s="357"/>
      <c r="D43" s="357"/>
      <c r="E43" s="357"/>
      <c r="F43" s="357"/>
      <c r="G43" s="357"/>
    </row>
    <row r="44" spans="1:7" x14ac:dyDescent="0.25">
      <c r="A44" s="358"/>
      <c r="B44" s="359" t="s">
        <v>462</v>
      </c>
      <c r="C44" s="359"/>
      <c r="D44" s="359"/>
      <c r="E44" s="359"/>
      <c r="F44" s="360"/>
    </row>
    <row r="45" spans="1:7" x14ac:dyDescent="0.25">
      <c r="A45" s="341"/>
      <c r="B45" s="347" t="s">
        <v>92</v>
      </c>
      <c r="C45" s="347" t="s">
        <v>284</v>
      </c>
      <c r="D45" s="347" t="s">
        <v>285</v>
      </c>
      <c r="E45" s="347" t="s">
        <v>286</v>
      </c>
      <c r="F45" s="303" t="s">
        <v>287</v>
      </c>
      <c r="G45" s="357"/>
    </row>
    <row r="46" spans="1:7" x14ac:dyDescent="0.25">
      <c r="A46" s="361" t="s">
        <v>449</v>
      </c>
      <c r="B46" s="327">
        <f>+B22</f>
        <v>520155059.87690669</v>
      </c>
      <c r="C46" s="327">
        <f>+C22</f>
        <v>709532979.33413267</v>
      </c>
      <c r="D46" s="327">
        <f>+D22</f>
        <v>677869645.50976491</v>
      </c>
      <c r="E46" s="327">
        <f>+E22</f>
        <v>709532979.33413267</v>
      </c>
      <c r="F46" s="362">
        <f>+F22</f>
        <v>709532979.33413267</v>
      </c>
      <c r="G46" s="357"/>
    </row>
    <row r="47" spans="1:7" x14ac:dyDescent="0.25">
      <c r="A47" s="354" t="s">
        <v>463</v>
      </c>
      <c r="B47" s="309"/>
      <c r="C47" s="309"/>
      <c r="D47" s="309"/>
      <c r="E47" s="309"/>
      <c r="F47" s="363"/>
      <c r="G47" s="357"/>
    </row>
    <row r="48" spans="1:7" x14ac:dyDescent="0.25">
      <c r="A48" s="354" t="s">
        <v>464</v>
      </c>
      <c r="B48" s="309">
        <f>+G42</f>
        <v>-11287859.452788113</v>
      </c>
      <c r="C48" s="309">
        <v>0</v>
      </c>
      <c r="D48" s="309">
        <v>0</v>
      </c>
      <c r="E48" s="309">
        <v>0</v>
      </c>
      <c r="F48" s="363">
        <v>0</v>
      </c>
      <c r="G48" s="357"/>
    </row>
    <row r="49" spans="1:7" x14ac:dyDescent="0.25">
      <c r="A49" s="354" t="s">
        <v>465</v>
      </c>
      <c r="B49" s="309">
        <f>+B42</f>
        <v>12479484.785987727</v>
      </c>
      <c r="C49" s="309">
        <f>+B42-C42</f>
        <v>31991.035005062819</v>
      </c>
      <c r="D49" s="309">
        <f>+C42-D42</f>
        <v>126417.71190145798</v>
      </c>
      <c r="E49" s="309">
        <f>+D42-E42</f>
        <v>-115979.55220317282</v>
      </c>
      <c r="F49" s="311">
        <f>+E42-F42</f>
        <v>0</v>
      </c>
      <c r="G49" s="357"/>
    </row>
    <row r="50" spans="1:7" x14ac:dyDescent="0.25">
      <c r="A50" s="333" t="s">
        <v>466</v>
      </c>
      <c r="B50" s="309">
        <f>+B46-B48-B49</f>
        <v>518963434.54370707</v>
      </c>
      <c r="C50" s="309">
        <f>+C46-C48-C49</f>
        <v>709500988.29912758</v>
      </c>
      <c r="D50" s="309">
        <f>+D46-D48-D49</f>
        <v>677743227.79786348</v>
      </c>
      <c r="E50" s="309">
        <f>+E46-E48-E49</f>
        <v>709648958.88633585</v>
      </c>
      <c r="F50" s="311">
        <f>+F46-F48-F49</f>
        <v>709532979.33413267</v>
      </c>
      <c r="G50" s="357"/>
    </row>
    <row r="51" spans="1:7" x14ac:dyDescent="0.25">
      <c r="A51" s="338" t="s">
        <v>467</v>
      </c>
      <c r="B51" s="364">
        <f>+B50/'DATA E-COSTOS'!B94</f>
        <v>238222.72159657517</v>
      </c>
      <c r="C51" s="364">
        <f>+C50/'DATA E-COSTOS'!$C$94</f>
        <v>234819.80238067155</v>
      </c>
      <c r="D51" s="364">
        <f>+D50/'DATA E-COSTOS'!$C$94</f>
        <v>224309.103779903</v>
      </c>
      <c r="E51" s="364">
        <f>+E50/'DATA E-COSTOS'!$C$94</f>
        <v>234868.77542598004</v>
      </c>
      <c r="F51" s="365">
        <f>+F50/'DATA E-COSTOS'!$C$94</f>
        <v>234830.39028490527</v>
      </c>
      <c r="G51" s="357"/>
    </row>
    <row r="52" spans="1:7" x14ac:dyDescent="0.25">
      <c r="A52" s="338"/>
      <c r="B52" s="364"/>
      <c r="C52" s="364"/>
      <c r="D52" s="364"/>
      <c r="E52" s="364"/>
      <c r="F52" s="365"/>
      <c r="G52" s="357"/>
    </row>
    <row r="53" spans="1:7" x14ac:dyDescent="0.25">
      <c r="A53" s="338" t="s">
        <v>450</v>
      </c>
      <c r="B53" s="366"/>
      <c r="C53" s="366"/>
      <c r="D53" s="366"/>
      <c r="E53" s="366"/>
      <c r="F53" s="367"/>
      <c r="G53" s="357"/>
    </row>
    <row r="54" spans="1:7" x14ac:dyDescent="0.25">
      <c r="A54" s="341" t="s">
        <v>451</v>
      </c>
      <c r="B54" s="368"/>
      <c r="C54" s="368"/>
      <c r="D54" s="368"/>
      <c r="E54" s="368"/>
      <c r="F54" s="369"/>
      <c r="G54" s="357"/>
    </row>
    <row r="57" spans="1:7" x14ac:dyDescent="0.25">
      <c r="A57" s="370"/>
      <c r="B57" s="344" t="s">
        <v>468</v>
      </c>
      <c r="C57" s="344"/>
      <c r="D57" s="344"/>
      <c r="E57" s="344"/>
      <c r="F57" s="345"/>
    </row>
    <row r="58" spans="1:7" x14ac:dyDescent="0.25">
      <c r="A58" s="371" t="s">
        <v>407</v>
      </c>
      <c r="B58" s="301" t="s">
        <v>92</v>
      </c>
      <c r="C58" s="301" t="s">
        <v>284</v>
      </c>
      <c r="D58" s="301" t="s">
        <v>285</v>
      </c>
      <c r="E58" s="301" t="s">
        <v>286</v>
      </c>
      <c r="F58" s="303" t="s">
        <v>287</v>
      </c>
    </row>
    <row r="59" spans="1:7" x14ac:dyDescent="0.25">
      <c r="A59" s="320" t="s">
        <v>5</v>
      </c>
      <c r="B59" s="372">
        <f>+'DATA E-COSTOS'!G36+'DATA E-COSTOS'!G37+'DATA E-COSTOS'!G38/3*2+'DATA E-COSTOS'!G39/3*2</f>
        <v>17550000</v>
      </c>
      <c r="C59" s="372">
        <f>+'DATA E-COSTOS'!G36+'DATA E-COSTOS'!G37+'DATA E-COSTOS'!G38/3*2+'DATA E-COSTOS'!G39/3*2</f>
        <v>17550000</v>
      </c>
      <c r="D59" s="372">
        <f>(+'DATA E-COSTOS'!G36+'DATA E-COSTOS'!G37+'DATA E-COSTOS'!G38/3*2+'DATA E-COSTOS'!G39/3*2)*I12</f>
        <v>8775000</v>
      </c>
      <c r="E59" s="372">
        <f>+'DATA E-COSTOS'!G36+'DATA E-COSTOS'!G37+'DATA E-COSTOS'!G38/3*2+'DATA E-COSTOS'!G39/3*2</f>
        <v>17550000</v>
      </c>
      <c r="F59" s="373">
        <f>+'DATA E-COSTOS'!G36+'DATA E-COSTOS'!G37+'DATA E-COSTOS'!G38/3*2+'DATA E-COSTOS'!G39/3*2</f>
        <v>17550000</v>
      </c>
    </row>
    <row r="60" spans="1:7" x14ac:dyDescent="0.25">
      <c r="A60" s="354" t="s">
        <v>469</v>
      </c>
      <c r="B60" s="309">
        <f>+'DATA E-COSTOS'!D111</f>
        <v>603017.94725833263</v>
      </c>
      <c r="C60" s="309">
        <f>+'DATA E-COSTOS'!D111</f>
        <v>603017.94725833263</v>
      </c>
      <c r="D60" s="309">
        <f>+'DATA E-COSTOS'!D111</f>
        <v>603017.94725833263</v>
      </c>
      <c r="E60" s="309">
        <f>+'DATA E-COSTOS'!D111</f>
        <v>603017.94725833263</v>
      </c>
      <c r="F60" s="363">
        <f>+'DATA E-COSTOS'!D111</f>
        <v>603017.94725833263</v>
      </c>
    </row>
    <row r="61" spans="1:7" x14ac:dyDescent="0.25">
      <c r="A61" s="354" t="s">
        <v>278</v>
      </c>
      <c r="B61" s="309">
        <f>+'DATA E-COSTOS'!C221</f>
        <v>744635.03885034355</v>
      </c>
      <c r="C61" s="309">
        <f>+'DATA E-COSTOS'!D221</f>
        <v>744635.03885034355</v>
      </c>
      <c r="D61" s="309">
        <f>+'DATA E-COSTOS'!D221*(1-I13)</f>
        <v>670171.5349653092</v>
      </c>
      <c r="E61" s="309">
        <f>+'DATA E-COSTOS'!D221</f>
        <v>744635.03885034355</v>
      </c>
      <c r="F61" s="311">
        <f>+'DATA E-COSTOS'!D221</f>
        <v>744635.03885034355</v>
      </c>
    </row>
    <row r="62" spans="1:7" x14ac:dyDescent="0.25">
      <c r="A62" s="354" t="s">
        <v>470</v>
      </c>
      <c r="B62" s="309">
        <f>+'DATA E-COSTOS'!D178/2</f>
        <v>77411.982117200008</v>
      </c>
      <c r="C62" s="309">
        <f>+'DATA E-COSTOS'!D152/2</f>
        <v>77411.982117200008</v>
      </c>
      <c r="D62" s="309">
        <f>+'DATA E-COSTOS'!D152/2*(1-I13)</f>
        <v>69670.783905480013</v>
      </c>
      <c r="E62" s="309">
        <f>+'DATA E-COSTOS'!D152/2</f>
        <v>77411.982117200008</v>
      </c>
      <c r="F62" s="311">
        <f>+'DATA E-COSTOS'!D152/2</f>
        <v>77411.982117200008</v>
      </c>
    </row>
    <row r="63" spans="1:7" x14ac:dyDescent="0.25">
      <c r="A63" s="354" t="s">
        <v>281</v>
      </c>
      <c r="B63" s="309">
        <v>0</v>
      </c>
      <c r="C63" s="309">
        <v>0</v>
      </c>
      <c r="D63" s="309">
        <v>0</v>
      </c>
      <c r="E63" s="309">
        <v>0</v>
      </c>
      <c r="F63" s="311">
        <v>0</v>
      </c>
    </row>
    <row r="64" spans="1:7" x14ac:dyDescent="0.25">
      <c r="A64" s="332" t="s">
        <v>441</v>
      </c>
      <c r="B64" s="309">
        <f>+'DATA E-COSTOS'!B234</f>
        <v>102600</v>
      </c>
      <c r="C64" s="309">
        <f>+'DATA E-COSTOS'!C234</f>
        <v>102600</v>
      </c>
      <c r="D64" s="309">
        <f>+'DATA E-COSTOS'!C234*(1-I13)</f>
        <v>92340</v>
      </c>
      <c r="E64" s="309">
        <f>+'DATA E-COSTOS'!C234</f>
        <v>102600</v>
      </c>
      <c r="F64" s="311">
        <f>+'DATA E-COSTOS'!C234</f>
        <v>102600</v>
      </c>
    </row>
    <row r="65" spans="1:7" x14ac:dyDescent="0.25">
      <c r="A65" s="354" t="s">
        <v>443</v>
      </c>
      <c r="B65" s="309">
        <f>+'DATA E-COSTOS'!E202</f>
        <v>168300.04625280004</v>
      </c>
      <c r="C65" s="309">
        <f>+'DATA E-COSTOS'!E202</f>
        <v>168300.04625280004</v>
      </c>
      <c r="D65" s="309">
        <f>+'DATA E-COSTOS'!E202*(1-I13)</f>
        <v>151470.04162752003</v>
      </c>
      <c r="E65" s="309">
        <f>+'DATA E-COSTOS'!E202</f>
        <v>168300.04625280004</v>
      </c>
      <c r="F65" s="311">
        <f>+'DATA E-COSTOS'!E202</f>
        <v>168300.04625280004</v>
      </c>
    </row>
    <row r="66" spans="1:7" x14ac:dyDescent="0.25">
      <c r="A66" s="354" t="s">
        <v>471</v>
      </c>
      <c r="B66" s="309">
        <f>+'DATA E-COSTOS'!B267</f>
        <v>900000</v>
      </c>
      <c r="C66" s="309">
        <f>+'DATA E-COSTOS'!B267</f>
        <v>900000</v>
      </c>
      <c r="D66" s="309">
        <f>+'DATA E-COSTOS'!B267*(1-I13)</f>
        <v>810000</v>
      </c>
      <c r="E66" s="309">
        <f>+'DATA E-COSTOS'!B267</f>
        <v>900000</v>
      </c>
      <c r="F66" s="311">
        <f>+'DATA E-COSTOS'!B267</f>
        <v>900000</v>
      </c>
    </row>
    <row r="67" spans="1:7" x14ac:dyDescent="0.25">
      <c r="A67" s="374" t="s">
        <v>472</v>
      </c>
      <c r="B67" s="309">
        <f>+'DATA E-COSTOS'!B287</f>
        <v>0</v>
      </c>
      <c r="C67" s="309">
        <f>+'DATA E-COSTOS'!$C$287</f>
        <v>0</v>
      </c>
      <c r="D67" s="309">
        <f>+'DATA E-COSTOS'!$C$287</f>
        <v>0</v>
      </c>
      <c r="E67" s="309">
        <f>+'DATA E-COSTOS'!$C$287</f>
        <v>0</v>
      </c>
      <c r="F67" s="311">
        <f>+'DATA E-COSTOS'!$C$287</f>
        <v>0</v>
      </c>
    </row>
    <row r="68" spans="1:7" x14ac:dyDescent="0.25">
      <c r="A68" s="374" t="s">
        <v>447</v>
      </c>
      <c r="B68" s="309"/>
      <c r="C68" s="309"/>
      <c r="D68" s="309"/>
      <c r="E68" s="309"/>
      <c r="F68" s="311"/>
    </row>
    <row r="69" spans="1:7" x14ac:dyDescent="0.25">
      <c r="A69" s="374" t="s">
        <v>447</v>
      </c>
      <c r="B69" s="309"/>
      <c r="C69" s="309"/>
      <c r="D69" s="309"/>
      <c r="E69" s="309"/>
      <c r="F69" s="311"/>
    </row>
    <row r="70" spans="1:7" x14ac:dyDescent="0.25">
      <c r="A70" s="354" t="s">
        <v>448</v>
      </c>
      <c r="B70" s="309">
        <f>+SUM(B59:B69)*InfoInicial!$B$14</f>
        <v>1813136.8513030803</v>
      </c>
      <c r="C70" s="309">
        <f>+SUM(C59:C69)*InfoInicial!$B$14</f>
        <v>1813136.8513030803</v>
      </c>
      <c r="D70" s="309">
        <f>+SUM(D59:D69)*InfoInicial!$B$14</f>
        <v>1005450.3276980977</v>
      </c>
      <c r="E70" s="309">
        <f>+SUM(E59:E69)*InfoInicial!$B$14</f>
        <v>1813136.8513030803</v>
      </c>
      <c r="F70" s="311">
        <f>+SUM(F59:F69)*InfoInicial!$B$14</f>
        <v>1813136.8513030803</v>
      </c>
    </row>
    <row r="71" spans="1:7" x14ac:dyDescent="0.25">
      <c r="A71" s="354"/>
      <c r="B71" s="375"/>
      <c r="C71" s="375"/>
      <c r="D71" s="375"/>
      <c r="E71" s="375"/>
      <c r="F71" s="376"/>
    </row>
    <row r="72" spans="1:7" x14ac:dyDescent="0.25">
      <c r="A72" s="333" t="s">
        <v>473</v>
      </c>
      <c r="B72" s="309">
        <f>+SUM(B59:B71)</f>
        <v>21959101.865781754</v>
      </c>
      <c r="C72" s="309">
        <f>+SUM(C59:C71)</f>
        <v>21959101.865781754</v>
      </c>
      <c r="D72" s="309">
        <f>+SUM(D59:D71)</f>
        <v>12177120.63545474</v>
      </c>
      <c r="E72" s="309">
        <f>+SUM(E59:E71)</f>
        <v>21959101.865781754</v>
      </c>
      <c r="F72" s="311">
        <f>+SUM(F59:F71)</f>
        <v>21959101.865781754</v>
      </c>
    </row>
    <row r="73" spans="1:7" x14ac:dyDescent="0.25">
      <c r="A73" s="333"/>
      <c r="B73" s="312"/>
      <c r="C73" s="312"/>
      <c r="D73" s="312"/>
      <c r="E73" s="312"/>
      <c r="F73" s="314"/>
      <c r="G73" s="357"/>
    </row>
    <row r="74" spans="1:7" x14ac:dyDescent="0.25">
      <c r="A74" s="338" t="s">
        <v>450</v>
      </c>
      <c r="B74" s="377">
        <f>+(B59+B60+B61+B64+B65+B66+B70)/B72</f>
        <v>0.99647472002314319</v>
      </c>
      <c r="C74" s="377">
        <f>+(C59+C60+C61+C64+C65+C66+C70)/C72</f>
        <v>0.99647472002314319</v>
      </c>
      <c r="D74" s="377">
        <f>+(D59+D60+D61+D64+D65+D66+D70)/D72</f>
        <v>0.99427855024260603</v>
      </c>
      <c r="E74" s="377">
        <f>+(E59+E60+E61+E64+E65+E66+E70)/E72</f>
        <v>0.99647472002314319</v>
      </c>
      <c r="F74" s="378">
        <f>+(F59+F60+F61+F64+F65+F66+F70)/F72</f>
        <v>0.99647472002314319</v>
      </c>
      <c r="G74" s="357"/>
    </row>
    <row r="75" spans="1:7" x14ac:dyDescent="0.25">
      <c r="A75" s="341" t="s">
        <v>451</v>
      </c>
      <c r="B75" s="379">
        <f>+(B62+B63)/B72</f>
        <v>3.525279976856836E-3</v>
      </c>
      <c r="C75" s="379">
        <f>+(C62+C63)/C72</f>
        <v>3.525279976856836E-3</v>
      </c>
      <c r="D75" s="379">
        <f>+(D62+D63)/D72</f>
        <v>5.7214497573940017E-3</v>
      </c>
      <c r="E75" s="379">
        <f>+(E62+E63)/E72</f>
        <v>3.525279976856836E-3</v>
      </c>
      <c r="F75" s="380">
        <f>+(F62+F63)/F72</f>
        <v>3.525279976856836E-3</v>
      </c>
      <c r="G75" s="357"/>
    </row>
    <row r="78" spans="1:7" x14ac:dyDescent="0.25">
      <c r="A78" s="370"/>
      <c r="B78" s="344" t="s">
        <v>474</v>
      </c>
      <c r="C78" s="344"/>
      <c r="D78" s="344"/>
      <c r="E78" s="344"/>
      <c r="F78" s="345"/>
    </row>
    <row r="79" spans="1:7" x14ac:dyDescent="0.25">
      <c r="A79" s="371" t="s">
        <v>407</v>
      </c>
      <c r="B79" s="301" t="s">
        <v>92</v>
      </c>
      <c r="C79" s="301" t="s">
        <v>284</v>
      </c>
      <c r="D79" s="301" t="s">
        <v>285</v>
      </c>
      <c r="E79" s="301" t="s">
        <v>286</v>
      </c>
      <c r="F79" s="303" t="s">
        <v>287</v>
      </c>
    </row>
    <row r="80" spans="1:7" x14ac:dyDescent="0.25">
      <c r="A80" s="326" t="s">
        <v>475</v>
      </c>
      <c r="B80" s="327">
        <f>+'DATA E-COSTOS'!G38/3+'DATA E-COSTOS'!G39/3</f>
        <v>3900000</v>
      </c>
      <c r="C80" s="327">
        <f>+'DATA E-COSTOS'!G38/3+'DATA E-COSTOS'!G39/3</f>
        <v>3900000</v>
      </c>
      <c r="D80" s="327">
        <f>(+'DATA E-COSTOS'!G38/3+'DATA E-COSTOS'!G39/3)*I12</f>
        <v>1950000</v>
      </c>
      <c r="E80" s="327">
        <f>+'DATA E-COSTOS'!G38/3+'DATA E-COSTOS'!G39/3</f>
        <v>3900000</v>
      </c>
      <c r="F80" s="362">
        <f>+'DATA E-COSTOS'!G38/3+'DATA E-COSTOS'!G39/3</f>
        <v>3900000</v>
      </c>
    </row>
    <row r="81" spans="1:6" x14ac:dyDescent="0.25">
      <c r="A81" s="354" t="s">
        <v>469</v>
      </c>
      <c r="B81" s="309">
        <f>+'DATA E-COSTOS'!F111</f>
        <v>603017.94725833263</v>
      </c>
      <c r="C81" s="309">
        <f>+'DATA E-COSTOS'!F111</f>
        <v>603017.94725833263</v>
      </c>
      <c r="D81" s="309">
        <f>+'DATA E-COSTOS'!F111</f>
        <v>603017.94725833263</v>
      </c>
      <c r="E81" s="309">
        <f>+'DATA E-COSTOS'!F111</f>
        <v>603017.94725833263</v>
      </c>
      <c r="F81" s="363">
        <f>+'DATA E-COSTOS'!F111</f>
        <v>603017.94725833263</v>
      </c>
    </row>
    <row r="82" spans="1:6" x14ac:dyDescent="0.25">
      <c r="A82" s="354" t="s">
        <v>278</v>
      </c>
      <c r="B82" s="309">
        <f>+'DATA E-COSTOS'!C222</f>
        <v>744635.03885034355</v>
      </c>
      <c r="C82" s="309">
        <f>+'DATA E-COSTOS'!D222</f>
        <v>744635.03885034355</v>
      </c>
      <c r="D82" s="309">
        <f>+'DATA E-COSTOS'!D222*(1-I13)</f>
        <v>670171.5349653092</v>
      </c>
      <c r="E82" s="309">
        <f>+'DATA E-COSTOS'!D222</f>
        <v>744635.03885034355</v>
      </c>
      <c r="F82" s="311">
        <f>+'DATA E-COSTOS'!D222</f>
        <v>744635.03885034355</v>
      </c>
    </row>
    <row r="83" spans="1:6" x14ac:dyDescent="0.25">
      <c r="A83" s="354" t="s">
        <v>476</v>
      </c>
      <c r="B83" s="309">
        <f>+'DATA E-COSTOS'!D178/2</f>
        <v>77411.982117200008</v>
      </c>
      <c r="C83" s="309">
        <f>+'DATA E-COSTOS'!D152/2</f>
        <v>77411.982117200008</v>
      </c>
      <c r="D83" s="309">
        <f>+'DATA E-COSTOS'!D152/2*(1-I13)</f>
        <v>69670.783905480013</v>
      </c>
      <c r="E83" s="309">
        <f>+'DATA E-COSTOS'!D152/2</f>
        <v>77411.982117200008</v>
      </c>
      <c r="F83" s="311">
        <f>+'DATA E-COSTOS'!D152/2</f>
        <v>77411.982117200008</v>
      </c>
    </row>
    <row r="84" spans="1:6" x14ac:dyDescent="0.25">
      <c r="A84" s="354" t="s">
        <v>281</v>
      </c>
      <c r="B84" s="309">
        <v>0</v>
      </c>
      <c r="C84" s="309">
        <v>0</v>
      </c>
      <c r="D84" s="309">
        <v>0</v>
      </c>
      <c r="E84" s="309">
        <v>0</v>
      </c>
      <c r="F84" s="311">
        <v>0</v>
      </c>
    </row>
    <row r="85" spans="1:6" x14ac:dyDescent="0.25">
      <c r="A85" s="332" t="s">
        <v>441</v>
      </c>
      <c r="B85" s="309">
        <f>+'DATA E-COSTOS'!B235</f>
        <v>102600</v>
      </c>
      <c r="C85" s="309">
        <f>+'DATA E-COSTOS'!C235</f>
        <v>102600</v>
      </c>
      <c r="D85" s="309">
        <f>+'DATA E-COSTOS'!C235*(1-I13)</f>
        <v>92340</v>
      </c>
      <c r="E85" s="309">
        <f>+'DATA E-COSTOS'!C235</f>
        <v>102600</v>
      </c>
      <c r="F85" s="311">
        <f>+'DATA E-COSTOS'!C235</f>
        <v>102600</v>
      </c>
    </row>
    <row r="86" spans="1:6" x14ac:dyDescent="0.25">
      <c r="A86" s="381" t="s">
        <v>477</v>
      </c>
      <c r="B86" s="382"/>
      <c r="C86" s="382"/>
      <c r="D86" s="382"/>
      <c r="E86" s="382"/>
      <c r="F86" s="383"/>
    </row>
    <row r="87" spans="1:6" x14ac:dyDescent="0.25">
      <c r="A87" s="381" t="s">
        <v>478</v>
      </c>
      <c r="B87" s="382"/>
      <c r="C87" s="382"/>
      <c r="D87" s="382"/>
      <c r="E87" s="382"/>
      <c r="F87" s="383"/>
    </row>
    <row r="88" spans="1:6" x14ac:dyDescent="0.25">
      <c r="A88" s="354" t="s">
        <v>443</v>
      </c>
      <c r="B88" s="309">
        <f>+'DATA E-COSTOS'!G202</f>
        <v>168300.04625280004</v>
      </c>
      <c r="C88" s="309">
        <f>+'DATA E-COSTOS'!G202</f>
        <v>168300.04625280004</v>
      </c>
      <c r="D88" s="309">
        <f>+'DATA E-COSTOS'!G202*(1-I13)</f>
        <v>151470.04162752003</v>
      </c>
      <c r="E88" s="309">
        <f>+'DATA E-COSTOS'!G202</f>
        <v>168300.04625280004</v>
      </c>
      <c r="F88" s="311">
        <f>+'DATA E-COSTOS'!G202</f>
        <v>168300.04625280004</v>
      </c>
    </row>
    <row r="89" spans="1:6" x14ac:dyDescent="0.25">
      <c r="A89" s="354" t="s">
        <v>471</v>
      </c>
      <c r="B89" s="309">
        <f>+'DATA E-COSTOS'!B268</f>
        <v>900000</v>
      </c>
      <c r="C89" s="309">
        <f>+'DATA E-COSTOS'!B267</f>
        <v>900000</v>
      </c>
      <c r="D89" s="309">
        <f>+'DATA E-COSTOS'!B267*(1-I13)</f>
        <v>810000</v>
      </c>
      <c r="E89" s="309">
        <f>+'DATA E-COSTOS'!B267</f>
        <v>900000</v>
      </c>
      <c r="F89" s="311">
        <f>+'DATA E-COSTOS'!B267</f>
        <v>900000</v>
      </c>
    </row>
    <row r="90" spans="1:6" x14ac:dyDescent="0.25">
      <c r="A90" s="374" t="s">
        <v>472</v>
      </c>
      <c r="B90" s="309">
        <f>+'DATA E-COSTOS'!B288</f>
        <v>0</v>
      </c>
      <c r="C90" s="309">
        <f>+'DATA E-COSTOS'!$C$288</f>
        <v>0</v>
      </c>
      <c r="D90" s="309">
        <f>+'DATA E-COSTOS'!$C$288</f>
        <v>0</v>
      </c>
      <c r="E90" s="309">
        <f>+'DATA E-COSTOS'!$C$288</f>
        <v>0</v>
      </c>
      <c r="F90" s="311">
        <f>+'DATA E-COSTOS'!$C$288</f>
        <v>0</v>
      </c>
    </row>
    <row r="91" spans="1:6" x14ac:dyDescent="0.25">
      <c r="A91" s="374" t="s">
        <v>447</v>
      </c>
      <c r="B91" s="309"/>
      <c r="C91" s="309"/>
      <c r="D91" s="309"/>
      <c r="E91" s="309"/>
      <c r="F91" s="311"/>
    </row>
    <row r="92" spans="1:6" x14ac:dyDescent="0.25">
      <c r="A92" s="354" t="s">
        <v>448</v>
      </c>
      <c r="B92" s="309">
        <f>+SUM(B80:B91)*InfoInicial!$B$14</f>
        <v>584636.85130308091</v>
      </c>
      <c r="C92" s="309">
        <f>+SUM(C80:C91)*InfoInicial!$B$14</f>
        <v>584636.85130308091</v>
      </c>
      <c r="D92" s="309">
        <f>+SUM(D80:D91)*InfoInicial!$B$14</f>
        <v>391200.32769809774</v>
      </c>
      <c r="E92" s="309">
        <f>+SUM(E80:E91)*InfoInicial!$B$14</f>
        <v>584636.85130308091</v>
      </c>
      <c r="F92" s="311">
        <f>+SUM(F80:F91)*InfoInicial!$B$14</f>
        <v>584636.85130308091</v>
      </c>
    </row>
    <row r="93" spans="1:6" x14ac:dyDescent="0.25">
      <c r="A93" s="354"/>
      <c r="B93" s="375"/>
      <c r="C93" s="375"/>
      <c r="D93" s="375"/>
      <c r="E93" s="375"/>
      <c r="F93" s="376"/>
    </row>
    <row r="94" spans="1:6" x14ac:dyDescent="0.25">
      <c r="A94" s="333" t="s">
        <v>479</v>
      </c>
      <c r="B94" s="309">
        <f>+SUM(B80:B93)</f>
        <v>7080601.865781758</v>
      </c>
      <c r="C94" s="309">
        <f>+SUM(C80:C93)</f>
        <v>7080601.865781758</v>
      </c>
      <c r="D94" s="309">
        <f>+SUM(D80:D93)</f>
        <v>4737870.6354547394</v>
      </c>
      <c r="E94" s="309">
        <f>+SUM(E80:E93)</f>
        <v>7080601.865781758</v>
      </c>
      <c r="F94" s="311">
        <f>+SUM(F80:F93)</f>
        <v>7080601.865781758</v>
      </c>
    </row>
    <row r="95" spans="1:6" x14ac:dyDescent="0.25">
      <c r="A95" s="333"/>
      <c r="B95" s="312"/>
      <c r="C95" s="312"/>
      <c r="D95" s="312"/>
      <c r="E95" s="312"/>
      <c r="F95" s="314"/>
    </row>
    <row r="96" spans="1:6" x14ac:dyDescent="0.25">
      <c r="A96" s="338" t="s">
        <v>450</v>
      </c>
      <c r="B96" s="377">
        <f>+(B80+B81+B82+B83+B85+B86+B88+B89)/B94</f>
        <v>0.9174311926605504</v>
      </c>
      <c r="C96" s="377">
        <f>+(C80+C81+C82+C83+C85+C86+C88+C89)/C94</f>
        <v>0.9174311926605504</v>
      </c>
      <c r="D96" s="377">
        <f>+(D80+D81+D82+D83+D85+D86+D88+D89)/D94</f>
        <v>0.91743119266055051</v>
      </c>
      <c r="E96" s="377">
        <f>+(E80+E81+E82+E83+E85+E86+E88+E89)/E94</f>
        <v>0.9174311926605504</v>
      </c>
      <c r="F96" s="378">
        <f>+(F80+F81+F82+F83+F85+F86+F88+F89)/F94</f>
        <v>0.9174311926605504</v>
      </c>
    </row>
    <row r="97" spans="1:6" x14ac:dyDescent="0.25">
      <c r="A97" s="341" t="s">
        <v>451</v>
      </c>
      <c r="B97" s="379">
        <f>+(B84+B87+B92)/B94</f>
        <v>8.2568807339449532E-2</v>
      </c>
      <c r="C97" s="379">
        <f>+(C84+C87+C92)/C94</f>
        <v>8.2568807339449532E-2</v>
      </c>
      <c r="D97" s="379">
        <f>+(D84+D87+D92)/D94</f>
        <v>8.2568807339449532E-2</v>
      </c>
      <c r="E97" s="379">
        <f>+(E84+E87+E92)/E94</f>
        <v>8.2568807339449532E-2</v>
      </c>
      <c r="F97" s="380">
        <f>+(F84+F87+F92)/F94</f>
        <v>8.2568807339449532E-2</v>
      </c>
    </row>
    <row r="100" spans="1:6" x14ac:dyDescent="0.25">
      <c r="A100" s="642" t="s">
        <v>480</v>
      </c>
      <c r="B100" s="642"/>
      <c r="C100" s="344"/>
      <c r="D100" s="344"/>
      <c r="E100" s="344"/>
      <c r="F100" s="345"/>
    </row>
    <row r="101" spans="1:6" x14ac:dyDescent="0.25">
      <c r="A101" s="371"/>
      <c r="B101" s="301" t="s">
        <v>92</v>
      </c>
      <c r="C101" s="301" t="s">
        <v>284</v>
      </c>
      <c r="D101" s="301" t="s">
        <v>285</v>
      </c>
      <c r="E101" s="301" t="s">
        <v>286</v>
      </c>
      <c r="F101" s="303" t="s">
        <v>287</v>
      </c>
    </row>
    <row r="102" spans="1:6" x14ac:dyDescent="0.25">
      <c r="A102" s="354" t="s">
        <v>481</v>
      </c>
      <c r="B102" s="384">
        <f>+'DATA E-COSTOS'!F91</f>
        <v>2757565</v>
      </c>
      <c r="C102" s="385">
        <f>+InfoInicial!$B$18</f>
        <v>3824640</v>
      </c>
      <c r="D102" s="385">
        <f>+InfoInicial!$B$18*(1-I14)</f>
        <v>3633408</v>
      </c>
      <c r="E102" s="385">
        <f>+InfoInicial!$B$18</f>
        <v>3824640</v>
      </c>
      <c r="F102" s="386">
        <f>+InfoInicial!$B$18</f>
        <v>3824640</v>
      </c>
    </row>
    <row r="103" spans="1:6" x14ac:dyDescent="0.25">
      <c r="A103" s="354" t="s">
        <v>482</v>
      </c>
      <c r="B103" s="387">
        <f>+InfoInicial!$B$19</f>
        <v>130</v>
      </c>
      <c r="C103" s="388">
        <f>+InfoInicial!$B$19</f>
        <v>130</v>
      </c>
      <c r="D103" s="388">
        <f>+InfoInicial!$B$19</f>
        <v>130</v>
      </c>
      <c r="E103" s="388">
        <f>+InfoInicial!$B$19</f>
        <v>130</v>
      </c>
      <c r="F103" s="311">
        <f>+InfoInicial!$B$19</f>
        <v>130</v>
      </c>
    </row>
    <row r="104" spans="1:6" x14ac:dyDescent="0.25">
      <c r="A104" s="354" t="s">
        <v>483</v>
      </c>
      <c r="B104" s="389">
        <f>+'DATA E-COSTOS'!G91</f>
        <v>2757565</v>
      </c>
      <c r="C104" s="389">
        <f>+InfoInicial!$B$20</f>
        <v>3824640</v>
      </c>
      <c r="D104" s="389">
        <f>+InfoInicial!$B$20*(1-I14)</f>
        <v>3633408</v>
      </c>
      <c r="E104" s="389">
        <f>+InfoInicial!$B$20</f>
        <v>3824640</v>
      </c>
      <c r="F104" s="390">
        <f>+InfoInicial!$B$20</f>
        <v>3824640</v>
      </c>
    </row>
    <row r="105" spans="1:6" x14ac:dyDescent="0.25">
      <c r="A105" s="354" t="s">
        <v>484</v>
      </c>
      <c r="B105" s="309">
        <f>+InfoInicial!$B$21</f>
        <v>150</v>
      </c>
      <c r="C105" s="309">
        <f>+InfoInicial!$B$21</f>
        <v>150</v>
      </c>
      <c r="D105" s="309">
        <f>+InfoInicial!$B$21</f>
        <v>150</v>
      </c>
      <c r="E105" s="309">
        <f>+InfoInicial!$B$21</f>
        <v>150</v>
      </c>
      <c r="F105" s="311">
        <f>+InfoInicial!$B$21</f>
        <v>150</v>
      </c>
    </row>
    <row r="106" spans="1:6" x14ac:dyDescent="0.25">
      <c r="A106" s="333" t="s">
        <v>485</v>
      </c>
      <c r="B106" s="391">
        <f>+B102*B103+B104*B105</f>
        <v>772118200</v>
      </c>
      <c r="C106" s="391">
        <f>+C102*C103+C104*C105</f>
        <v>1070899200</v>
      </c>
      <c r="D106" s="391">
        <f>+D102*D103+D104*D105</f>
        <v>1017354240</v>
      </c>
      <c r="E106" s="391">
        <f>+E102*E103+E104*E105</f>
        <v>1070899200</v>
      </c>
      <c r="F106" s="392">
        <f>+F102*F103+F104*F105</f>
        <v>1070899200</v>
      </c>
    </row>
    <row r="107" spans="1:6" x14ac:dyDescent="0.25">
      <c r="A107" s="354"/>
      <c r="B107" s="312"/>
      <c r="C107" s="312"/>
      <c r="D107" s="312"/>
      <c r="E107" s="312"/>
      <c r="F107" s="311"/>
    </row>
    <row r="108" spans="1:6" x14ac:dyDescent="0.25">
      <c r="A108" s="354" t="s">
        <v>486</v>
      </c>
      <c r="B108" s="309">
        <f t="shared" ref="B108:F109" si="1">+B7</f>
        <v>427582387.36673403</v>
      </c>
      <c r="C108" s="309">
        <f t="shared" si="1"/>
        <v>565440406.07086921</v>
      </c>
      <c r="D108" s="309">
        <f t="shared" si="1"/>
        <v>565440406.07086921</v>
      </c>
      <c r="E108" s="309">
        <f t="shared" si="1"/>
        <v>565440406.07086921</v>
      </c>
      <c r="F108" s="311">
        <f t="shared" si="1"/>
        <v>565440406.07086921</v>
      </c>
    </row>
    <row r="109" spans="1:6" x14ac:dyDescent="0.25">
      <c r="A109" s="354" t="s">
        <v>432</v>
      </c>
      <c r="B109" s="309">
        <f t="shared" si="1"/>
        <v>0</v>
      </c>
      <c r="C109" s="309">
        <f t="shared" si="1"/>
        <v>32509085.699999999</v>
      </c>
      <c r="D109" s="309">
        <f t="shared" si="1"/>
        <v>16254542.85</v>
      </c>
      <c r="E109" s="309">
        <f t="shared" si="1"/>
        <v>32509085.699999999</v>
      </c>
      <c r="F109" s="311">
        <f t="shared" si="1"/>
        <v>32509085.699999999</v>
      </c>
    </row>
    <row r="110" spans="1:6" x14ac:dyDescent="0.25">
      <c r="A110" s="354" t="s">
        <v>487</v>
      </c>
      <c r="B110" s="309">
        <f>+SUM(B10:B21)</f>
        <v>92572672.510172635</v>
      </c>
      <c r="C110" s="309">
        <f>+SUM(C10:C21)</f>
        <v>111583487.5632634</v>
      </c>
      <c r="D110" s="309">
        <f>+SUM(D10:D21)</f>
        <v>96174696.588895723</v>
      </c>
      <c r="E110" s="309">
        <f>+SUM(E10:E21)</f>
        <v>111583487.5632634</v>
      </c>
      <c r="F110" s="311">
        <f>+SUM(F10:F21)</f>
        <v>111583487.5632634</v>
      </c>
    </row>
    <row r="111" spans="1:6" x14ac:dyDescent="0.25">
      <c r="A111" s="354"/>
      <c r="B111" s="312"/>
      <c r="C111" s="312"/>
      <c r="D111" s="312"/>
      <c r="E111" s="312"/>
      <c r="F111" s="311"/>
    </row>
    <row r="112" spans="1:6" x14ac:dyDescent="0.25">
      <c r="A112" s="333" t="s">
        <v>488</v>
      </c>
      <c r="B112" s="391">
        <f>+B22</f>
        <v>520155059.87690669</v>
      </c>
      <c r="C112" s="391">
        <f>+C22</f>
        <v>709532979.33413267</v>
      </c>
      <c r="D112" s="391">
        <f>+D22</f>
        <v>677869645.50976491</v>
      </c>
      <c r="E112" s="391">
        <f>+E22</f>
        <v>709532979.33413267</v>
      </c>
      <c r="F112" s="392">
        <f>+F22</f>
        <v>709532979.33413267</v>
      </c>
    </row>
    <row r="113" spans="1:6" x14ac:dyDescent="0.25">
      <c r="A113" s="354"/>
      <c r="B113" s="312"/>
      <c r="C113" s="312"/>
      <c r="D113" s="312"/>
      <c r="E113" s="312"/>
      <c r="F113" s="311"/>
    </row>
    <row r="114" spans="1:6" x14ac:dyDescent="0.25">
      <c r="A114" s="354" t="s">
        <v>463</v>
      </c>
      <c r="B114" s="312"/>
      <c r="C114" s="312"/>
      <c r="D114" s="312"/>
      <c r="E114" s="312"/>
      <c r="F114" s="311"/>
    </row>
    <row r="115" spans="1:6" x14ac:dyDescent="0.25">
      <c r="A115" s="332" t="s">
        <v>454</v>
      </c>
      <c r="B115" s="312">
        <f t="shared" ref="B115:F116" si="2">+B48</f>
        <v>-11287859.452788113</v>
      </c>
      <c r="C115" s="312">
        <f t="shared" si="2"/>
        <v>0</v>
      </c>
      <c r="D115" s="312">
        <f t="shared" si="2"/>
        <v>0</v>
      </c>
      <c r="E115" s="312">
        <f t="shared" si="2"/>
        <v>0</v>
      </c>
      <c r="F115" s="311">
        <f t="shared" si="2"/>
        <v>0</v>
      </c>
    </row>
    <row r="116" spans="1:6" x14ac:dyDescent="0.25">
      <c r="A116" s="332" t="s">
        <v>465</v>
      </c>
      <c r="B116" s="312">
        <f t="shared" si="2"/>
        <v>12479484.785987727</v>
      </c>
      <c r="C116" s="312">
        <f t="shared" si="2"/>
        <v>31991.035005062819</v>
      </c>
      <c r="D116" s="312">
        <f t="shared" si="2"/>
        <v>126417.71190145798</v>
      </c>
      <c r="E116" s="312">
        <f t="shared" si="2"/>
        <v>-115979.55220317282</v>
      </c>
      <c r="F116" s="311">
        <f t="shared" si="2"/>
        <v>0</v>
      </c>
    </row>
    <row r="117" spans="1:6" x14ac:dyDescent="0.25">
      <c r="A117" s="354"/>
      <c r="B117" s="312"/>
      <c r="C117" s="312"/>
      <c r="D117" s="312"/>
      <c r="E117" s="312"/>
      <c r="F117" s="311"/>
    </row>
    <row r="118" spans="1:6" x14ac:dyDescent="0.25">
      <c r="A118" s="333" t="s">
        <v>489</v>
      </c>
      <c r="B118" s="391">
        <f>+B50</f>
        <v>518963434.54370707</v>
      </c>
      <c r="C118" s="391">
        <f>+C50</f>
        <v>709500988.29912758</v>
      </c>
      <c r="D118" s="391">
        <f>+D50</f>
        <v>677743227.79786348</v>
      </c>
      <c r="E118" s="391">
        <f>+E50</f>
        <v>709648958.88633585</v>
      </c>
      <c r="F118" s="392">
        <f>+F50</f>
        <v>709532979.33413267</v>
      </c>
    </row>
    <row r="119" spans="1:6" x14ac:dyDescent="0.25">
      <c r="A119" s="332" t="s">
        <v>490</v>
      </c>
      <c r="B119" s="393">
        <f>+B102+B104</f>
        <v>5515130</v>
      </c>
      <c r="C119" s="393">
        <f>+C102+C104</f>
        <v>7649280</v>
      </c>
      <c r="D119" s="393">
        <f>+D102+D104</f>
        <v>7266816</v>
      </c>
      <c r="E119" s="393">
        <f>+E102+E104</f>
        <v>7649280</v>
      </c>
      <c r="F119" s="390">
        <f>+F102+F104</f>
        <v>7649280</v>
      </c>
    </row>
    <row r="120" spans="1:6" x14ac:dyDescent="0.25">
      <c r="A120" s="332" t="s">
        <v>491</v>
      </c>
      <c r="B120" s="393">
        <f>+'DATA E-COSTOS'!B94</f>
        <v>2178.48</v>
      </c>
      <c r="C120" s="393">
        <f>+'DATA E-COSTOS'!$C$94</f>
        <v>3021.47</v>
      </c>
      <c r="D120" s="393">
        <f>+'DATA E-COSTOS'!$C$94</f>
        <v>3021.47</v>
      </c>
      <c r="E120" s="393">
        <f>+'DATA E-COSTOS'!$C$94</f>
        <v>3021.47</v>
      </c>
      <c r="F120" s="390">
        <f>+'DATA E-COSTOS'!$C$94</f>
        <v>3021.47</v>
      </c>
    </row>
    <row r="121" spans="1:6" x14ac:dyDescent="0.25">
      <c r="A121" s="354" t="s">
        <v>492</v>
      </c>
      <c r="B121" s="309">
        <f>+B51</f>
        <v>238222.72159657517</v>
      </c>
      <c r="C121" s="309">
        <f>+C51</f>
        <v>234819.80238067155</v>
      </c>
      <c r="D121" s="309">
        <f>+D51</f>
        <v>224309.103779903</v>
      </c>
      <c r="E121" s="309">
        <f>+E51</f>
        <v>234868.77542598004</v>
      </c>
      <c r="F121" s="311">
        <f>+F51</f>
        <v>234830.39028490527</v>
      </c>
    </row>
    <row r="122" spans="1:6" x14ac:dyDescent="0.25">
      <c r="A122" s="354"/>
      <c r="B122" s="394"/>
      <c r="C122" s="394"/>
      <c r="D122" s="394"/>
      <c r="E122" s="394"/>
      <c r="F122" s="311"/>
    </row>
    <row r="123" spans="1:6" x14ac:dyDescent="0.25">
      <c r="A123" s="354" t="s">
        <v>463</v>
      </c>
      <c r="B123" s="394"/>
      <c r="C123" s="394"/>
      <c r="D123" s="394"/>
      <c r="E123" s="394"/>
      <c r="F123" s="311"/>
    </row>
    <row r="124" spans="1:6" x14ac:dyDescent="0.25">
      <c r="A124" s="354" t="s">
        <v>493</v>
      </c>
      <c r="B124" s="312">
        <f>+'DATA E-COSTOS'!C280</f>
        <v>6920370.0623805085</v>
      </c>
      <c r="C124" s="312">
        <f>+'DATA E-COSTOS'!D280</f>
        <v>-98854.803221999668</v>
      </c>
      <c r="D124" s="312">
        <f>+'DATA E-COSTOS'!E280</f>
        <v>-305335.79435232654</v>
      </c>
      <c r="E124" s="312">
        <f>+'DATA E-COSTOS'!F280</f>
        <v>306758.46131853852</v>
      </c>
      <c r="F124" s="311">
        <f>+'DATA E-COSTOS'!G280</f>
        <v>-1115.0883482228965</v>
      </c>
    </row>
    <row r="125" spans="1:6" x14ac:dyDescent="0.25">
      <c r="A125" s="354"/>
      <c r="B125" s="394"/>
      <c r="C125" s="394"/>
      <c r="D125" s="394"/>
      <c r="E125" s="394"/>
      <c r="F125" s="311"/>
    </row>
    <row r="126" spans="1:6" x14ac:dyDescent="0.25">
      <c r="A126" s="333" t="s">
        <v>494</v>
      </c>
      <c r="B126" s="391">
        <f>+B118-B124</f>
        <v>512043064.48132658</v>
      </c>
      <c r="C126" s="391">
        <f>+C118-C124</f>
        <v>709599843.10234952</v>
      </c>
      <c r="D126" s="391">
        <f>+D118-D124</f>
        <v>678048563.59221578</v>
      </c>
      <c r="E126" s="391">
        <f>+E118-E124</f>
        <v>709342200.42501736</v>
      </c>
      <c r="F126" s="392">
        <f>+F118-F124</f>
        <v>709534094.42248094</v>
      </c>
    </row>
    <row r="127" spans="1:6" x14ac:dyDescent="0.25">
      <c r="A127" s="354"/>
      <c r="B127" s="312"/>
      <c r="C127" s="312"/>
      <c r="D127" s="312"/>
      <c r="E127" s="312"/>
      <c r="F127" s="311"/>
    </row>
    <row r="128" spans="1:6" x14ac:dyDescent="0.25">
      <c r="A128" s="333" t="s">
        <v>495</v>
      </c>
      <c r="B128" s="391">
        <f>+B72</f>
        <v>21959101.865781754</v>
      </c>
      <c r="C128" s="391">
        <f>+C72</f>
        <v>21959101.865781754</v>
      </c>
      <c r="D128" s="391">
        <f>+D72</f>
        <v>12177120.63545474</v>
      </c>
      <c r="E128" s="391">
        <f>+E72</f>
        <v>21959101.865781754</v>
      </c>
      <c r="F128" s="392">
        <f>+F72</f>
        <v>21959101.865781754</v>
      </c>
    </row>
    <row r="129" spans="1:6" x14ac:dyDescent="0.25">
      <c r="A129" s="333" t="s">
        <v>496</v>
      </c>
      <c r="B129" s="391">
        <f>+B94</f>
        <v>7080601.865781758</v>
      </c>
      <c r="C129" s="391">
        <f>+C94</f>
        <v>7080601.865781758</v>
      </c>
      <c r="D129" s="391">
        <f>+D94</f>
        <v>4737870.6354547394</v>
      </c>
      <c r="E129" s="391">
        <f>+E94</f>
        <v>7080601.865781758</v>
      </c>
      <c r="F129" s="311">
        <f>+F94</f>
        <v>7080601.865781758</v>
      </c>
    </row>
    <row r="130" spans="1:6" x14ac:dyDescent="0.25">
      <c r="A130" s="354"/>
      <c r="B130" s="394"/>
      <c r="C130" s="394"/>
      <c r="D130" s="394"/>
      <c r="E130" s="394"/>
      <c r="F130" s="311"/>
    </row>
    <row r="131" spans="1:6" x14ac:dyDescent="0.25">
      <c r="A131" s="333" t="s">
        <v>497</v>
      </c>
      <c r="B131" s="391">
        <f>+B126+B128+B129</f>
        <v>541082768.21289015</v>
      </c>
      <c r="C131" s="391">
        <f>+C126+C128+C129</f>
        <v>738639546.83391309</v>
      </c>
      <c r="D131" s="391">
        <f>+D126+D128+D129</f>
        <v>694963554.86312532</v>
      </c>
      <c r="E131" s="391">
        <f>+E126+E128+E129</f>
        <v>738381904.15658092</v>
      </c>
      <c r="F131" s="392">
        <f>+F126+F128+F129</f>
        <v>738573798.15404451</v>
      </c>
    </row>
    <row r="132" spans="1:6" x14ac:dyDescent="0.25">
      <c r="A132" s="354"/>
      <c r="B132" s="394"/>
      <c r="C132" s="394"/>
      <c r="D132" s="394"/>
      <c r="E132" s="394"/>
      <c r="F132" s="392"/>
    </row>
    <row r="133" spans="1:6" x14ac:dyDescent="0.25">
      <c r="A133" s="333" t="s">
        <v>498</v>
      </c>
      <c r="B133" s="391">
        <f>+B131/(B102+B104)</f>
        <v>98.108796748742122</v>
      </c>
      <c r="C133" s="391">
        <f>+C131/(C102+C104)</f>
        <v>96.563277437080757</v>
      </c>
      <c r="D133" s="391">
        <f>+D131/(D102+D104)</f>
        <v>95.63522110139094</v>
      </c>
      <c r="E133" s="391">
        <f>+E131/(E102+E104)</f>
        <v>96.529595485664132</v>
      </c>
      <c r="F133" s="392">
        <f>+F131/(F102+F104)</f>
        <v>96.554682029425578</v>
      </c>
    </row>
    <row r="134" spans="1:6" x14ac:dyDescent="0.25">
      <c r="A134" s="354"/>
      <c r="B134" s="394"/>
      <c r="C134" s="394"/>
      <c r="D134" s="394"/>
      <c r="E134" s="394"/>
      <c r="F134" s="311"/>
    </row>
    <row r="135" spans="1:6" x14ac:dyDescent="0.25">
      <c r="A135" s="333" t="s">
        <v>499</v>
      </c>
      <c r="B135" s="391">
        <f>+B106-B131</f>
        <v>231035431.78710985</v>
      </c>
      <c r="C135" s="391">
        <f>+C106-C131</f>
        <v>332259653.16608691</v>
      </c>
      <c r="D135" s="391">
        <f>+D106-D131</f>
        <v>322390685.13687468</v>
      </c>
      <c r="E135" s="391">
        <f>+E106-E131</f>
        <v>332517295.84341908</v>
      </c>
      <c r="F135" s="392">
        <f>+F106-F131</f>
        <v>332325401.84595549</v>
      </c>
    </row>
    <row r="136" spans="1:6" x14ac:dyDescent="0.25">
      <c r="A136" s="333" t="s">
        <v>500</v>
      </c>
      <c r="B136" s="391">
        <f>+B135*InfoInicial!$B$5</f>
        <v>23103543.178710986</v>
      </c>
      <c r="C136" s="391">
        <f>+C135*InfoInicial!$B$5</f>
        <v>33225965.316608693</v>
      </c>
      <c r="D136" s="391">
        <f>+D135*InfoInicial!$B$5</f>
        <v>32239068.513687469</v>
      </c>
      <c r="E136" s="391">
        <f>+E135*InfoInicial!$B$5</f>
        <v>33251729.58434191</v>
      </c>
      <c r="F136" s="392">
        <f>+F135*InfoInicial!$B$5</f>
        <v>33232540.184595551</v>
      </c>
    </row>
    <row r="137" spans="1:6" x14ac:dyDescent="0.25">
      <c r="A137" s="395" t="s">
        <v>501</v>
      </c>
      <c r="B137" s="391">
        <f>+B135*InfoInicial!$B$4</f>
        <v>80862401.125488445</v>
      </c>
      <c r="C137" s="391">
        <f>+C135*InfoInicial!$B$4</f>
        <v>116290878.60813041</v>
      </c>
      <c r="D137" s="391">
        <f>+D135*InfoInicial!$B$4</f>
        <v>112836739.79790613</v>
      </c>
      <c r="E137" s="391">
        <f>+E135*InfoInicial!$B$4</f>
        <v>116381053.54519667</v>
      </c>
      <c r="F137" s="392">
        <f>+F135*InfoInicial!$B$4</f>
        <v>116313890.64608441</v>
      </c>
    </row>
    <row r="138" spans="1:6" x14ac:dyDescent="0.25">
      <c r="A138" s="333"/>
      <c r="B138" s="394"/>
      <c r="C138" s="394"/>
      <c r="D138" s="394"/>
      <c r="E138" s="394"/>
      <c r="F138" s="311"/>
    </row>
    <row r="139" spans="1:6" x14ac:dyDescent="0.25">
      <c r="A139" s="395" t="s">
        <v>502</v>
      </c>
      <c r="B139" s="391">
        <f>+B135-B136-B137</f>
        <v>127069487.48291041</v>
      </c>
      <c r="C139" s="391">
        <f>+C135-C136-C137</f>
        <v>182742809.24134785</v>
      </c>
      <c r="D139" s="391">
        <f>+D135-D136-D137</f>
        <v>177314876.82528105</v>
      </c>
      <c r="E139" s="126">
        <f>+E135-E136-E137</f>
        <v>182884512.71388054</v>
      </c>
      <c r="F139" s="392">
        <f>+F135-F136-F137</f>
        <v>182778971.01527554</v>
      </c>
    </row>
    <row r="140" spans="1:6" x14ac:dyDescent="0.25">
      <c r="A140" s="333" t="s">
        <v>503</v>
      </c>
      <c r="B140" s="396">
        <f>+B139/B106</f>
        <v>0.16457258420137022</v>
      </c>
      <c r="C140" s="396">
        <f>+C139/C106</f>
        <v>0.1706442672114685</v>
      </c>
      <c r="D140" s="396">
        <f>+D139/D106</f>
        <v>0.17429020281596413</v>
      </c>
      <c r="E140" s="396">
        <f>+E139/E106</f>
        <v>0.17077658916346239</v>
      </c>
      <c r="F140" s="397">
        <f>+F139/F106</f>
        <v>0.17067803488439953</v>
      </c>
    </row>
    <row r="141" spans="1:6" x14ac:dyDescent="0.25">
      <c r="A141" s="333"/>
      <c r="B141" s="398"/>
      <c r="C141" s="398"/>
      <c r="D141" s="398"/>
      <c r="E141" s="398"/>
      <c r="F141" s="399"/>
    </row>
    <row r="142" spans="1:6" x14ac:dyDescent="0.25">
      <c r="A142" s="333" t="s">
        <v>504</v>
      </c>
      <c r="B142" s="400"/>
      <c r="C142" s="400"/>
      <c r="D142" s="400"/>
      <c r="E142" s="400"/>
      <c r="F142" s="401"/>
    </row>
    <row r="143" spans="1:6" x14ac:dyDescent="0.25">
      <c r="A143" s="395" t="s">
        <v>505</v>
      </c>
      <c r="B143" s="334">
        <f>+B139</f>
        <v>127069487.48291041</v>
      </c>
      <c r="C143" s="334">
        <f>+C139</f>
        <v>182742809.24134785</v>
      </c>
      <c r="D143" s="334">
        <f>+D139</f>
        <v>177314876.82528105</v>
      </c>
      <c r="E143" s="334">
        <f>+E139</f>
        <v>182884512.71388054</v>
      </c>
      <c r="F143" s="402">
        <f>+F139</f>
        <v>182778971.01527554</v>
      </c>
    </row>
    <row r="144" spans="1:6" x14ac:dyDescent="0.25">
      <c r="A144" s="333" t="s">
        <v>506</v>
      </c>
      <c r="B144" s="334">
        <f>+B81+B60+B33+B10</f>
        <v>12090468.165814755</v>
      </c>
      <c r="C144" s="334">
        <f>+C81+C60+C33+C10</f>
        <v>12082067.694549397</v>
      </c>
      <c r="D144" s="334">
        <f>+D81+D60+D33+D10</f>
        <v>12082067.694549397</v>
      </c>
      <c r="E144" s="334">
        <f>+E81+E60+E33+E10</f>
        <v>12082067.694549397</v>
      </c>
      <c r="F144" s="402">
        <f>+F81+F60+F33+F10</f>
        <v>12082067.694549397</v>
      </c>
    </row>
    <row r="145" spans="1:7" x14ac:dyDescent="0.25">
      <c r="A145" s="341" t="s">
        <v>199</v>
      </c>
      <c r="B145" s="403">
        <f>+B144+B143</f>
        <v>139159955.64872515</v>
      </c>
      <c r="C145" s="403">
        <f>+C144+C143</f>
        <v>194824876.93589723</v>
      </c>
      <c r="D145" s="403">
        <f>+D144+D143</f>
        <v>189396944.51983047</v>
      </c>
      <c r="E145" s="403">
        <f>+E144+E143</f>
        <v>194966580.40842992</v>
      </c>
      <c r="F145" s="404">
        <f>+F144+F143</f>
        <v>194861038.70982492</v>
      </c>
    </row>
    <row r="146" spans="1:7" x14ac:dyDescent="0.25">
      <c r="A146" s="333"/>
      <c r="B146" s="405"/>
      <c r="C146" s="405"/>
      <c r="D146" s="405"/>
      <c r="E146" s="405"/>
      <c r="F146" s="406"/>
    </row>
    <row r="147" spans="1:7" x14ac:dyDescent="0.25">
      <c r="A147" s="333" t="s">
        <v>507</v>
      </c>
      <c r="B147" s="355">
        <f>+B22*B24</f>
        <v>33220823.975705985</v>
      </c>
      <c r="C147" s="355">
        <f>+C22*C24</f>
        <v>36438323.975705989</v>
      </c>
      <c r="D147" s="355">
        <f>+D22*D24</f>
        <v>25299923.883200381</v>
      </c>
      <c r="E147" s="355">
        <f>+E22*E24</f>
        <v>36438323.975705989</v>
      </c>
      <c r="F147" s="363">
        <f>+F22*F24</f>
        <v>36438323.975705989</v>
      </c>
    </row>
    <row r="148" spans="1:7" x14ac:dyDescent="0.25">
      <c r="A148" s="395" t="s">
        <v>508</v>
      </c>
      <c r="B148" s="355">
        <f>+B22*B25</f>
        <v>486934235.90120071</v>
      </c>
      <c r="C148" s="355">
        <f>+C22*C25</f>
        <v>673094655.35842669</v>
      </c>
      <c r="D148" s="355">
        <f>+D22*D25</f>
        <v>652569721.6265645</v>
      </c>
      <c r="E148" s="355">
        <f>+E22*E25</f>
        <v>673094655.35842669</v>
      </c>
      <c r="F148" s="363">
        <f>+F22*F25</f>
        <v>673094655.35842669</v>
      </c>
    </row>
    <row r="149" spans="1:7" x14ac:dyDescent="0.25">
      <c r="A149" s="333" t="s">
        <v>509</v>
      </c>
      <c r="B149" s="355">
        <f>+B72*B74</f>
        <v>21881689.883664556</v>
      </c>
      <c r="C149" s="355">
        <f>+C72*C74</f>
        <v>21881689.883664556</v>
      </c>
      <c r="D149" s="355">
        <f>+D72*D74</f>
        <v>12107449.85154926</v>
      </c>
      <c r="E149" s="355">
        <f>+E72*E74</f>
        <v>21881689.883664556</v>
      </c>
      <c r="F149" s="363">
        <f>+F72*F74</f>
        <v>21881689.883664556</v>
      </c>
    </row>
    <row r="150" spans="1:7" x14ac:dyDescent="0.25">
      <c r="A150" s="395" t="s">
        <v>510</v>
      </c>
      <c r="B150" s="355">
        <f>+B75*B72</f>
        <v>77411.982117200008</v>
      </c>
      <c r="C150" s="355">
        <f>+C75*C72</f>
        <v>77411.982117200008</v>
      </c>
      <c r="D150" s="355">
        <f>+D75*D72</f>
        <v>69670.783905480013</v>
      </c>
      <c r="E150" s="355">
        <f>+E75*E72</f>
        <v>77411.982117200008</v>
      </c>
      <c r="F150" s="363">
        <f>+F75*F72</f>
        <v>77411.982117200008</v>
      </c>
    </row>
    <row r="151" spans="1:7" x14ac:dyDescent="0.25">
      <c r="A151" s="333" t="s">
        <v>511</v>
      </c>
      <c r="B151" s="355">
        <f>+B96*B94</f>
        <v>6495965.014478677</v>
      </c>
      <c r="C151" s="355">
        <f>+C96*C94</f>
        <v>6495965.014478677</v>
      </c>
      <c r="D151" s="355">
        <f>+D96*D94</f>
        <v>4346670.3077566419</v>
      </c>
      <c r="E151" s="355">
        <f>+E96*E94</f>
        <v>6495965.014478677</v>
      </c>
      <c r="F151" s="363">
        <f>+F96*F94</f>
        <v>6495965.014478677</v>
      </c>
    </row>
    <row r="152" spans="1:7" x14ac:dyDescent="0.25">
      <c r="A152" s="395" t="s">
        <v>512</v>
      </c>
      <c r="B152" s="355">
        <f>+B97*B94</f>
        <v>584636.85130308091</v>
      </c>
      <c r="C152" s="355">
        <f>+C97*C94</f>
        <v>584636.85130308091</v>
      </c>
      <c r="D152" s="355">
        <f>+D97*D94</f>
        <v>391200.32769809768</v>
      </c>
      <c r="E152" s="355">
        <f>+E97*E94</f>
        <v>584636.85130308091</v>
      </c>
      <c r="F152" s="363">
        <f>+F97*F94</f>
        <v>584636.85130308091</v>
      </c>
    </row>
    <row r="153" spans="1:7" x14ac:dyDescent="0.25">
      <c r="A153" s="333" t="s">
        <v>513</v>
      </c>
      <c r="B153" s="355">
        <f>+B106-B148-B150-B152</f>
        <v>284521915.26537901</v>
      </c>
      <c r="C153" s="355">
        <f>+C106-C148-C150-C152</f>
        <v>397142495.80815303</v>
      </c>
      <c r="D153" s="355">
        <f>+D106-D148-D150-D152</f>
        <v>364323647.26183188</v>
      </c>
      <c r="E153" s="355">
        <f>+E106-E148-E150-E152</f>
        <v>397142495.80815303</v>
      </c>
      <c r="F153" s="363">
        <f>+F106-F148-F150-F152</f>
        <v>397142495.80815303</v>
      </c>
    </row>
    <row r="154" spans="1:7" x14ac:dyDescent="0.25">
      <c r="A154" s="341" t="s">
        <v>514</v>
      </c>
      <c r="B154" s="407">
        <f>+(B147+B149+B151)/B153</f>
        <v>0.21649818720078257</v>
      </c>
      <c r="C154" s="407">
        <f>+(C147+C149+C151)/C153</f>
        <v>0.16320585069083055</v>
      </c>
      <c r="D154" s="407">
        <f>+(D147+D149+D151)/D153</f>
        <v>0.11460701043239863</v>
      </c>
      <c r="E154" s="407">
        <f>+(E147+E149+E151)/E153</f>
        <v>0.16320585069083055</v>
      </c>
      <c r="F154" s="408">
        <f>+(F147+F149+F151)/F153</f>
        <v>0.16320585069083055</v>
      </c>
    </row>
    <row r="155" spans="1:7" ht="15.6" x14ac:dyDescent="0.3">
      <c r="A155" s="409" t="s">
        <v>515</v>
      </c>
    </row>
    <row r="158" spans="1:7" ht="13.8" x14ac:dyDescent="0.25">
      <c r="A158" s="410" t="s">
        <v>92</v>
      </c>
      <c r="B158" s="411"/>
      <c r="C158" s="411"/>
      <c r="D158" s="411"/>
      <c r="E158" s="411"/>
      <c r="F158" s="411"/>
    </row>
    <row r="159" spans="1:7" x14ac:dyDescent="0.25">
      <c r="A159" s="412" t="s">
        <v>516</v>
      </c>
      <c r="B159" s="413" t="s">
        <v>517</v>
      </c>
      <c r="C159" s="413" t="s">
        <v>244</v>
      </c>
      <c r="D159" s="413" t="s">
        <v>518</v>
      </c>
      <c r="E159" s="413" t="s">
        <v>519</v>
      </c>
      <c r="F159" s="414" t="s">
        <v>520</v>
      </c>
    </row>
    <row r="160" spans="1:7" x14ac:dyDescent="0.25">
      <c r="A160" s="415">
        <f>+B106</f>
        <v>772118200</v>
      </c>
      <c r="B160" s="416">
        <v>0</v>
      </c>
      <c r="C160" s="417">
        <f>B160*$A$160</f>
        <v>0</v>
      </c>
      <c r="D160" s="418">
        <f t="shared" ref="D160:D180" si="3">+$B$147+$B$149+$B$151</f>
        <v>61598478.873849221</v>
      </c>
      <c r="E160" s="418">
        <f>$E$180*B160</f>
        <v>0</v>
      </c>
      <c r="F160" s="419">
        <f t="shared" ref="F160:F180" si="4">D160+E160</f>
        <v>61598478.873849221</v>
      </c>
      <c r="G160" s="23"/>
    </row>
    <row r="161" spans="1:7" x14ac:dyDescent="0.25">
      <c r="A161" s="411"/>
      <c r="B161" s="420">
        <v>0.05</v>
      </c>
      <c r="C161" s="421">
        <f t="shared" ref="C161:C180" si="5">B161*$A$160</f>
        <v>38605910</v>
      </c>
      <c r="D161" s="422">
        <f t="shared" si="3"/>
        <v>61598478.873849221</v>
      </c>
      <c r="E161" s="422">
        <f t="shared" ref="E161:E179" si="6">$E$180*B161</f>
        <v>24379814.236731052</v>
      </c>
      <c r="F161" s="423">
        <f t="shared" si="4"/>
        <v>85978293.110580266</v>
      </c>
      <c r="G161" s="23"/>
    </row>
    <row r="162" spans="1:7" x14ac:dyDescent="0.25">
      <c r="A162" s="411"/>
      <c r="B162" s="420">
        <v>0.1</v>
      </c>
      <c r="C162" s="421">
        <f t="shared" si="5"/>
        <v>77211820</v>
      </c>
      <c r="D162" s="422">
        <f t="shared" si="3"/>
        <v>61598478.873849221</v>
      </c>
      <c r="E162" s="422">
        <f t="shared" si="6"/>
        <v>48759628.473462105</v>
      </c>
      <c r="F162" s="423">
        <f t="shared" si="4"/>
        <v>110358107.34731132</v>
      </c>
      <c r="G162" s="23"/>
    </row>
    <row r="163" spans="1:7" x14ac:dyDescent="0.25">
      <c r="A163" s="411"/>
      <c r="B163" s="420">
        <v>0.15</v>
      </c>
      <c r="C163" s="421">
        <f t="shared" si="5"/>
        <v>115817730</v>
      </c>
      <c r="D163" s="422">
        <f t="shared" si="3"/>
        <v>61598478.873849221</v>
      </c>
      <c r="E163" s="422">
        <f t="shared" si="6"/>
        <v>73139442.710193142</v>
      </c>
      <c r="F163" s="423">
        <f t="shared" si="4"/>
        <v>134737921.58404237</v>
      </c>
      <c r="G163" s="23"/>
    </row>
    <row r="164" spans="1:7" x14ac:dyDescent="0.25">
      <c r="A164" s="411"/>
      <c r="B164" s="420">
        <v>0.2</v>
      </c>
      <c r="C164" s="421">
        <f t="shared" si="5"/>
        <v>154423640</v>
      </c>
      <c r="D164" s="422">
        <f t="shared" si="3"/>
        <v>61598478.873849221</v>
      </c>
      <c r="E164" s="422">
        <f t="shared" si="6"/>
        <v>97519256.94692421</v>
      </c>
      <c r="F164" s="423">
        <f t="shared" si="4"/>
        <v>159117735.82077342</v>
      </c>
      <c r="G164" s="23"/>
    </row>
    <row r="165" spans="1:7" x14ac:dyDescent="0.25">
      <c r="A165" s="411"/>
      <c r="B165" s="420">
        <v>0.25</v>
      </c>
      <c r="C165" s="421">
        <f t="shared" si="5"/>
        <v>193029550</v>
      </c>
      <c r="D165" s="422">
        <f t="shared" si="3"/>
        <v>61598478.873849221</v>
      </c>
      <c r="E165" s="422">
        <f t="shared" si="6"/>
        <v>121899071.18365525</v>
      </c>
      <c r="F165" s="423">
        <f t="shared" si="4"/>
        <v>183497550.05750448</v>
      </c>
      <c r="G165" s="23"/>
    </row>
    <row r="166" spans="1:7" x14ac:dyDescent="0.25">
      <c r="A166" s="411"/>
      <c r="B166" s="420">
        <v>0.3</v>
      </c>
      <c r="C166" s="421">
        <f t="shared" si="5"/>
        <v>231635460</v>
      </c>
      <c r="D166" s="422">
        <f t="shared" si="3"/>
        <v>61598478.873849221</v>
      </c>
      <c r="E166" s="422">
        <f t="shared" si="6"/>
        <v>146278885.42038628</v>
      </c>
      <c r="F166" s="423">
        <f t="shared" si="4"/>
        <v>207877364.2942355</v>
      </c>
      <c r="G166" s="23"/>
    </row>
    <row r="167" spans="1:7" x14ac:dyDescent="0.25">
      <c r="A167" s="411"/>
      <c r="B167" s="420">
        <v>0.35</v>
      </c>
      <c r="C167" s="421">
        <f t="shared" si="5"/>
        <v>270241370</v>
      </c>
      <c r="D167" s="422">
        <f t="shared" si="3"/>
        <v>61598478.873849221</v>
      </c>
      <c r="E167" s="422">
        <f t="shared" si="6"/>
        <v>170658699.65711734</v>
      </c>
      <c r="F167" s="423">
        <f t="shared" si="4"/>
        <v>232257178.53096655</v>
      </c>
      <c r="G167" s="23"/>
    </row>
    <row r="168" spans="1:7" x14ac:dyDescent="0.25">
      <c r="A168" s="411"/>
      <c r="B168" s="420">
        <v>0.4</v>
      </c>
      <c r="C168" s="421">
        <f t="shared" si="5"/>
        <v>308847280</v>
      </c>
      <c r="D168" s="422">
        <f t="shared" si="3"/>
        <v>61598478.873849221</v>
      </c>
      <c r="E168" s="422">
        <f t="shared" si="6"/>
        <v>195038513.89384842</v>
      </c>
      <c r="F168" s="423">
        <f t="shared" si="4"/>
        <v>256636992.76769763</v>
      </c>
      <c r="G168" s="23"/>
    </row>
    <row r="169" spans="1:7" x14ac:dyDescent="0.25">
      <c r="A169" s="411"/>
      <c r="B169" s="420">
        <v>0.45</v>
      </c>
      <c r="C169" s="421">
        <f t="shared" si="5"/>
        <v>347453190</v>
      </c>
      <c r="D169" s="422">
        <f t="shared" si="3"/>
        <v>61598478.873849221</v>
      </c>
      <c r="E169" s="422">
        <f t="shared" si="6"/>
        <v>219418328.13057944</v>
      </c>
      <c r="F169" s="423">
        <f t="shared" si="4"/>
        <v>281016807.00442868</v>
      </c>
      <c r="G169" s="23"/>
    </row>
    <row r="170" spans="1:7" x14ac:dyDescent="0.25">
      <c r="A170" s="411"/>
      <c r="B170" s="420">
        <v>0.5</v>
      </c>
      <c r="C170" s="421">
        <f t="shared" si="5"/>
        <v>386059100</v>
      </c>
      <c r="D170" s="422">
        <f t="shared" si="3"/>
        <v>61598478.873849221</v>
      </c>
      <c r="E170" s="422">
        <f t="shared" si="6"/>
        <v>243798142.36731049</v>
      </c>
      <c r="F170" s="423">
        <f t="shared" si="4"/>
        <v>305396621.24115974</v>
      </c>
      <c r="G170" s="23"/>
    </row>
    <row r="171" spans="1:7" x14ac:dyDescent="0.25">
      <c r="A171" s="411"/>
      <c r="B171" s="420">
        <v>0.55000000000000004</v>
      </c>
      <c r="C171" s="421">
        <f t="shared" si="5"/>
        <v>424665010.00000006</v>
      </c>
      <c r="D171" s="422">
        <f t="shared" si="3"/>
        <v>61598478.873849221</v>
      </c>
      <c r="E171" s="422">
        <f t="shared" si="6"/>
        <v>268177956.60404158</v>
      </c>
      <c r="F171" s="423">
        <f t="shared" si="4"/>
        <v>329776435.47789079</v>
      </c>
      <c r="G171" s="23"/>
    </row>
    <row r="172" spans="1:7" x14ac:dyDescent="0.25">
      <c r="A172" s="411"/>
      <c r="B172" s="420">
        <v>0.6</v>
      </c>
      <c r="C172" s="421">
        <f t="shared" si="5"/>
        <v>463270920</v>
      </c>
      <c r="D172" s="422">
        <f t="shared" si="3"/>
        <v>61598478.873849221</v>
      </c>
      <c r="E172" s="422">
        <f t="shared" si="6"/>
        <v>292557770.84077257</v>
      </c>
      <c r="F172" s="423">
        <f t="shared" si="4"/>
        <v>354156249.71462178</v>
      </c>
      <c r="G172" s="23"/>
    </row>
    <row r="173" spans="1:7" x14ac:dyDescent="0.25">
      <c r="A173" s="411"/>
      <c r="B173" s="420">
        <v>0.65</v>
      </c>
      <c r="C173" s="421">
        <f t="shared" si="5"/>
        <v>501876830</v>
      </c>
      <c r="D173" s="422">
        <f t="shared" si="3"/>
        <v>61598478.873849221</v>
      </c>
      <c r="E173" s="422">
        <f t="shared" si="6"/>
        <v>316937585.07750368</v>
      </c>
      <c r="F173" s="423">
        <f t="shared" si="4"/>
        <v>378536063.95135289</v>
      </c>
      <c r="G173" s="23"/>
    </row>
    <row r="174" spans="1:7" x14ac:dyDescent="0.25">
      <c r="A174" s="411"/>
      <c r="B174" s="420">
        <v>0.7</v>
      </c>
      <c r="C174" s="421">
        <f t="shared" si="5"/>
        <v>540482740</v>
      </c>
      <c r="D174" s="422">
        <f t="shared" si="3"/>
        <v>61598478.873849221</v>
      </c>
      <c r="E174" s="422">
        <f t="shared" si="6"/>
        <v>341317399.31423467</v>
      </c>
      <c r="F174" s="423">
        <f t="shared" si="4"/>
        <v>402915878.18808389</v>
      </c>
      <c r="G174" s="23"/>
    </row>
    <row r="175" spans="1:7" x14ac:dyDescent="0.25">
      <c r="A175" s="411"/>
      <c r="B175" s="420">
        <v>0.75</v>
      </c>
      <c r="C175" s="421">
        <f t="shared" si="5"/>
        <v>579088650</v>
      </c>
      <c r="D175" s="422">
        <f t="shared" si="3"/>
        <v>61598478.873849221</v>
      </c>
      <c r="E175" s="422">
        <f t="shared" si="6"/>
        <v>365697213.55096573</v>
      </c>
      <c r="F175" s="423">
        <f t="shared" si="4"/>
        <v>427295692.42481494</v>
      </c>
      <c r="G175" s="23"/>
    </row>
    <row r="176" spans="1:7" x14ac:dyDescent="0.25">
      <c r="A176" s="411"/>
      <c r="B176" s="420">
        <v>0.8</v>
      </c>
      <c r="C176" s="421">
        <f t="shared" si="5"/>
        <v>617694560</v>
      </c>
      <c r="D176" s="422">
        <f t="shared" si="3"/>
        <v>61598478.873849221</v>
      </c>
      <c r="E176" s="422">
        <f t="shared" si="6"/>
        <v>390077027.78769684</v>
      </c>
      <c r="F176" s="423">
        <f t="shared" si="4"/>
        <v>451675506.66154605</v>
      </c>
      <c r="G176" s="23"/>
    </row>
    <row r="177" spans="1:7" x14ac:dyDescent="0.25">
      <c r="A177" s="411"/>
      <c r="B177" s="420">
        <v>0.85</v>
      </c>
      <c r="C177" s="421">
        <f t="shared" si="5"/>
        <v>656300470</v>
      </c>
      <c r="D177" s="422">
        <f t="shared" si="3"/>
        <v>61598478.873849221</v>
      </c>
      <c r="E177" s="422">
        <f t="shared" si="6"/>
        <v>414456842.02442783</v>
      </c>
      <c r="F177" s="423">
        <f t="shared" si="4"/>
        <v>476055320.89827704</v>
      </c>
      <c r="G177" s="23"/>
    </row>
    <row r="178" spans="1:7" x14ac:dyDescent="0.25">
      <c r="A178" s="411"/>
      <c r="B178" s="420">
        <v>0.9</v>
      </c>
      <c r="C178" s="421">
        <f t="shared" si="5"/>
        <v>694906380</v>
      </c>
      <c r="D178" s="422">
        <f t="shared" si="3"/>
        <v>61598478.873849221</v>
      </c>
      <c r="E178" s="422">
        <f t="shared" si="6"/>
        <v>438836656.26115888</v>
      </c>
      <c r="F178" s="423">
        <f t="shared" si="4"/>
        <v>500435135.1350081</v>
      </c>
      <c r="G178" s="23"/>
    </row>
    <row r="179" spans="1:7" x14ac:dyDescent="0.25">
      <c r="A179" s="411"/>
      <c r="B179" s="420">
        <v>0.95</v>
      </c>
      <c r="C179" s="421">
        <f t="shared" si="5"/>
        <v>733512290</v>
      </c>
      <c r="D179" s="422">
        <f t="shared" si="3"/>
        <v>61598478.873849221</v>
      </c>
      <c r="E179" s="422">
        <f t="shared" si="6"/>
        <v>463216470.49788994</v>
      </c>
      <c r="F179" s="423">
        <f t="shared" si="4"/>
        <v>524814949.37173915</v>
      </c>
      <c r="G179" s="23"/>
    </row>
    <row r="180" spans="1:7" x14ac:dyDescent="0.25">
      <c r="A180" s="411"/>
      <c r="B180" s="424">
        <v>1</v>
      </c>
      <c r="C180" s="425">
        <f t="shared" si="5"/>
        <v>772118200</v>
      </c>
      <c r="D180" s="426">
        <f t="shared" si="3"/>
        <v>61598478.873849221</v>
      </c>
      <c r="E180" s="426">
        <f>+B148+B150+B152</f>
        <v>487596284.73462099</v>
      </c>
      <c r="F180" s="427">
        <f t="shared" si="4"/>
        <v>549194763.6084702</v>
      </c>
      <c r="G180" s="23"/>
    </row>
    <row r="182" spans="1:7" ht="13.8" x14ac:dyDescent="0.25">
      <c r="A182" s="410" t="s">
        <v>287</v>
      </c>
      <c r="B182" s="411"/>
      <c r="C182" s="411"/>
      <c r="D182" s="411"/>
      <c r="E182" s="411"/>
      <c r="F182" s="411"/>
    </row>
    <row r="183" spans="1:7" x14ac:dyDescent="0.25">
      <c r="A183" s="412" t="s">
        <v>516</v>
      </c>
      <c r="B183" s="413" t="s">
        <v>517</v>
      </c>
      <c r="C183" s="413" t="s">
        <v>244</v>
      </c>
      <c r="D183" s="413" t="s">
        <v>518</v>
      </c>
      <c r="E183" s="413" t="s">
        <v>519</v>
      </c>
      <c r="F183" s="414" t="s">
        <v>520</v>
      </c>
    </row>
    <row r="184" spans="1:7" x14ac:dyDescent="0.25">
      <c r="A184" s="415">
        <f>+F106</f>
        <v>1070899200</v>
      </c>
      <c r="B184" s="416">
        <v>0</v>
      </c>
      <c r="C184" s="417">
        <f t="shared" ref="C184:C204" si="7">B184*$A$184</f>
        <v>0</v>
      </c>
      <c r="D184" s="418">
        <f t="shared" ref="D184:D204" si="8">+$F$147+$F$149+$F$151</f>
        <v>64815978.873849221</v>
      </c>
      <c r="E184" s="418">
        <f t="shared" ref="E184:E203" si="9">$E$204*B184</f>
        <v>0</v>
      </c>
      <c r="F184" s="419">
        <f t="shared" ref="F184:F204" si="10">D184+E184</f>
        <v>64815978.873849221</v>
      </c>
    </row>
    <row r="185" spans="1:7" x14ac:dyDescent="0.25">
      <c r="A185" s="411"/>
      <c r="B185" s="420">
        <v>0.05</v>
      </c>
      <c r="C185" s="421">
        <f t="shared" si="7"/>
        <v>53544960</v>
      </c>
      <c r="D185" s="422">
        <f t="shared" si="8"/>
        <v>64815978.873849221</v>
      </c>
      <c r="E185" s="422">
        <f t="shared" si="9"/>
        <v>33687835.20959235</v>
      </c>
      <c r="F185" s="423">
        <f t="shared" si="10"/>
        <v>98503814.08344157</v>
      </c>
    </row>
    <row r="186" spans="1:7" x14ac:dyDescent="0.25">
      <c r="A186" s="411"/>
      <c r="B186" s="420">
        <v>0.1</v>
      </c>
      <c r="C186" s="421">
        <f t="shared" si="7"/>
        <v>107089920</v>
      </c>
      <c r="D186" s="422">
        <f t="shared" si="8"/>
        <v>64815978.873849221</v>
      </c>
      <c r="E186" s="422">
        <f t="shared" si="9"/>
        <v>67375670.4191847</v>
      </c>
      <c r="F186" s="423">
        <f t="shared" si="10"/>
        <v>132191649.29303393</v>
      </c>
    </row>
    <row r="187" spans="1:7" x14ac:dyDescent="0.25">
      <c r="A187" s="411"/>
      <c r="B187" s="420">
        <v>0.15</v>
      </c>
      <c r="C187" s="421">
        <f t="shared" si="7"/>
        <v>160634880</v>
      </c>
      <c r="D187" s="422">
        <f t="shared" si="8"/>
        <v>64815978.873849221</v>
      </c>
      <c r="E187" s="422">
        <f t="shared" si="9"/>
        <v>101063505.62877704</v>
      </c>
      <c r="F187" s="423">
        <f t="shared" si="10"/>
        <v>165879484.50262627</v>
      </c>
    </row>
    <row r="188" spans="1:7" x14ac:dyDescent="0.25">
      <c r="A188" s="411"/>
      <c r="B188" s="420">
        <v>0.2</v>
      </c>
      <c r="C188" s="421">
        <f t="shared" si="7"/>
        <v>214179840</v>
      </c>
      <c r="D188" s="422">
        <f t="shared" si="8"/>
        <v>64815978.873849221</v>
      </c>
      <c r="E188" s="422">
        <f t="shared" si="9"/>
        <v>134751340.8383694</v>
      </c>
      <c r="F188" s="423">
        <f t="shared" si="10"/>
        <v>199567319.71221861</v>
      </c>
    </row>
    <row r="189" spans="1:7" x14ac:dyDescent="0.25">
      <c r="A189" s="411"/>
      <c r="B189" s="420">
        <v>0.25</v>
      </c>
      <c r="C189" s="421">
        <f t="shared" si="7"/>
        <v>267724800</v>
      </c>
      <c r="D189" s="422">
        <f t="shared" si="8"/>
        <v>64815978.873849221</v>
      </c>
      <c r="E189" s="422">
        <f t="shared" si="9"/>
        <v>168439176.04796174</v>
      </c>
      <c r="F189" s="423">
        <f t="shared" si="10"/>
        <v>233255154.92181095</v>
      </c>
    </row>
    <row r="190" spans="1:7" x14ac:dyDescent="0.25">
      <c r="A190" s="411"/>
      <c r="B190" s="420">
        <v>0.3</v>
      </c>
      <c r="C190" s="421">
        <f t="shared" si="7"/>
        <v>321269760</v>
      </c>
      <c r="D190" s="422">
        <f t="shared" si="8"/>
        <v>64815978.873849221</v>
      </c>
      <c r="E190" s="422">
        <f t="shared" si="9"/>
        <v>202127011.25755408</v>
      </c>
      <c r="F190" s="423">
        <f t="shared" si="10"/>
        <v>266942990.1314033</v>
      </c>
    </row>
    <row r="191" spans="1:7" x14ac:dyDescent="0.25">
      <c r="A191" s="411"/>
      <c r="B191" s="420">
        <v>0.35</v>
      </c>
      <c r="C191" s="421">
        <f t="shared" si="7"/>
        <v>374814720</v>
      </c>
      <c r="D191" s="422">
        <f t="shared" si="8"/>
        <v>64815978.873849221</v>
      </c>
      <c r="E191" s="422">
        <f t="shared" si="9"/>
        <v>235814846.46714643</v>
      </c>
      <c r="F191" s="423">
        <f t="shared" si="10"/>
        <v>300630825.34099567</v>
      </c>
    </row>
    <row r="192" spans="1:7" x14ac:dyDescent="0.25">
      <c r="A192" s="411"/>
      <c r="B192" s="420">
        <v>0.4</v>
      </c>
      <c r="C192" s="421">
        <f t="shared" si="7"/>
        <v>428359680</v>
      </c>
      <c r="D192" s="422">
        <f t="shared" si="8"/>
        <v>64815978.873849221</v>
      </c>
      <c r="E192" s="422">
        <f t="shared" si="9"/>
        <v>269502681.6767388</v>
      </c>
      <c r="F192" s="423">
        <f t="shared" si="10"/>
        <v>334318660.55058801</v>
      </c>
    </row>
    <row r="193" spans="1:6" x14ac:dyDescent="0.25">
      <c r="A193" s="411"/>
      <c r="B193" s="420">
        <v>0.45</v>
      </c>
      <c r="C193" s="421">
        <f t="shared" si="7"/>
        <v>481904640</v>
      </c>
      <c r="D193" s="422">
        <f t="shared" si="8"/>
        <v>64815978.873849221</v>
      </c>
      <c r="E193" s="422">
        <f t="shared" si="9"/>
        <v>303190516.88633114</v>
      </c>
      <c r="F193" s="423">
        <f t="shared" si="10"/>
        <v>368006495.76018035</v>
      </c>
    </row>
    <row r="194" spans="1:6" x14ac:dyDescent="0.25">
      <c r="A194" s="411"/>
      <c r="B194" s="420">
        <v>0.5</v>
      </c>
      <c r="C194" s="421">
        <f t="shared" si="7"/>
        <v>535449600</v>
      </c>
      <c r="D194" s="422">
        <f t="shared" si="8"/>
        <v>64815978.873849221</v>
      </c>
      <c r="E194" s="422">
        <f t="shared" si="9"/>
        <v>336878352.09592348</v>
      </c>
      <c r="F194" s="423">
        <f t="shared" si="10"/>
        <v>401694330.9697727</v>
      </c>
    </row>
    <row r="195" spans="1:6" x14ac:dyDescent="0.25">
      <c r="A195" s="411"/>
      <c r="B195" s="420">
        <v>0.55000000000000004</v>
      </c>
      <c r="C195" s="421">
        <f t="shared" si="7"/>
        <v>588994560</v>
      </c>
      <c r="D195" s="422">
        <f t="shared" si="8"/>
        <v>64815978.873849221</v>
      </c>
      <c r="E195" s="422">
        <f t="shared" si="9"/>
        <v>370566187.30551589</v>
      </c>
      <c r="F195" s="423">
        <f t="shared" si="10"/>
        <v>435382166.1793651</v>
      </c>
    </row>
    <row r="196" spans="1:6" x14ac:dyDescent="0.25">
      <c r="A196" s="411"/>
      <c r="B196" s="420">
        <v>0.6</v>
      </c>
      <c r="C196" s="421">
        <f t="shared" si="7"/>
        <v>642539520</v>
      </c>
      <c r="D196" s="422">
        <f t="shared" si="8"/>
        <v>64815978.873849221</v>
      </c>
      <c r="E196" s="422">
        <f t="shared" si="9"/>
        <v>404254022.51510817</v>
      </c>
      <c r="F196" s="423">
        <f t="shared" si="10"/>
        <v>469070001.38895738</v>
      </c>
    </row>
    <row r="197" spans="1:6" x14ac:dyDescent="0.25">
      <c r="A197" s="411"/>
      <c r="B197" s="420">
        <v>0.65</v>
      </c>
      <c r="C197" s="421">
        <f t="shared" si="7"/>
        <v>696084480</v>
      </c>
      <c r="D197" s="422">
        <f t="shared" si="8"/>
        <v>64815978.873849221</v>
      </c>
      <c r="E197" s="422">
        <f t="shared" si="9"/>
        <v>437941857.72470057</v>
      </c>
      <c r="F197" s="423">
        <f t="shared" si="10"/>
        <v>502757836.59854978</v>
      </c>
    </row>
    <row r="198" spans="1:6" x14ac:dyDescent="0.25">
      <c r="A198" s="411"/>
      <c r="B198" s="420">
        <v>0.7</v>
      </c>
      <c r="C198" s="421">
        <f t="shared" si="7"/>
        <v>749629440</v>
      </c>
      <c r="D198" s="422">
        <f t="shared" si="8"/>
        <v>64815978.873849221</v>
      </c>
      <c r="E198" s="422">
        <f t="shared" si="9"/>
        <v>471629692.93429285</v>
      </c>
      <c r="F198" s="423">
        <f t="shared" si="10"/>
        <v>536445671.80814207</v>
      </c>
    </row>
    <row r="199" spans="1:6" x14ac:dyDescent="0.25">
      <c r="A199" s="411"/>
      <c r="B199" s="420">
        <v>0.75</v>
      </c>
      <c r="C199" s="421">
        <f t="shared" si="7"/>
        <v>803174400</v>
      </c>
      <c r="D199" s="422">
        <f t="shared" si="8"/>
        <v>64815978.873849221</v>
      </c>
      <c r="E199" s="422">
        <f t="shared" si="9"/>
        <v>505317528.14388525</v>
      </c>
      <c r="F199" s="423">
        <f t="shared" si="10"/>
        <v>570133507.01773453</v>
      </c>
    </row>
    <row r="200" spans="1:6" x14ac:dyDescent="0.25">
      <c r="A200" s="411"/>
      <c r="B200" s="420">
        <v>0.8</v>
      </c>
      <c r="C200" s="421">
        <f t="shared" si="7"/>
        <v>856719360</v>
      </c>
      <c r="D200" s="422">
        <f t="shared" si="8"/>
        <v>64815978.873849221</v>
      </c>
      <c r="E200" s="422">
        <f t="shared" si="9"/>
        <v>539005363.3534776</v>
      </c>
      <c r="F200" s="423">
        <f t="shared" si="10"/>
        <v>603821342.22732687</v>
      </c>
    </row>
    <row r="201" spans="1:6" x14ac:dyDescent="0.25">
      <c r="A201" s="411"/>
      <c r="B201" s="420">
        <v>0.85</v>
      </c>
      <c r="C201" s="421">
        <f t="shared" si="7"/>
        <v>910264320</v>
      </c>
      <c r="D201" s="422">
        <f t="shared" si="8"/>
        <v>64815978.873849221</v>
      </c>
      <c r="E201" s="422">
        <f t="shared" si="9"/>
        <v>572693198.56306994</v>
      </c>
      <c r="F201" s="423">
        <f t="shared" si="10"/>
        <v>637509177.43691921</v>
      </c>
    </row>
    <row r="202" spans="1:6" x14ac:dyDescent="0.25">
      <c r="A202" s="411"/>
      <c r="B202" s="420">
        <v>0.9</v>
      </c>
      <c r="C202" s="421">
        <f t="shared" si="7"/>
        <v>963809280</v>
      </c>
      <c r="D202" s="422">
        <f t="shared" si="8"/>
        <v>64815978.873849221</v>
      </c>
      <c r="E202" s="422">
        <f t="shared" si="9"/>
        <v>606381033.77266228</v>
      </c>
      <c r="F202" s="423">
        <f t="shared" si="10"/>
        <v>671197012.64651155</v>
      </c>
    </row>
    <row r="203" spans="1:6" x14ac:dyDescent="0.25">
      <c r="A203" s="411"/>
      <c r="B203" s="420">
        <v>0.95</v>
      </c>
      <c r="C203" s="421">
        <f t="shared" si="7"/>
        <v>1017354240</v>
      </c>
      <c r="D203" s="422">
        <f t="shared" si="8"/>
        <v>64815978.873849221</v>
      </c>
      <c r="E203" s="422">
        <f t="shared" si="9"/>
        <v>640068868.98225462</v>
      </c>
      <c r="F203" s="423">
        <f t="shared" si="10"/>
        <v>704884847.8561039</v>
      </c>
    </row>
    <row r="204" spans="1:6" x14ac:dyDescent="0.25">
      <c r="A204" s="411"/>
      <c r="B204" s="424">
        <v>1</v>
      </c>
      <c r="C204" s="425">
        <f t="shared" si="7"/>
        <v>1070899200</v>
      </c>
      <c r="D204" s="426">
        <f t="shared" si="8"/>
        <v>64815978.873849221</v>
      </c>
      <c r="E204" s="426">
        <f>+F148+F150+F152</f>
        <v>673756704.19184697</v>
      </c>
      <c r="F204" s="427">
        <f t="shared" si="10"/>
        <v>738572683.06569624</v>
      </c>
    </row>
  </sheetData>
  <mergeCells count="1">
    <mergeCell ref="A100:B100"/>
  </mergeCells>
  <pageMargins left="0.32013888888888897" right="0.75" top="0.179861111111111" bottom="0.15972222222222199" header="0.511811023622047" footer="0.511811023622047"/>
  <pageSetup paperSize="9" fitToHeight="4"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FAADC"/>
    <pageSetUpPr fitToPage="1"/>
  </sheetPr>
  <dimension ref="A1:G32"/>
  <sheetViews>
    <sheetView topLeftCell="A6" zoomScale="70" zoomScaleNormal="70" workbookViewId="0">
      <selection activeCell="F26" sqref="F26"/>
    </sheetView>
  </sheetViews>
  <sheetFormatPr baseColWidth="10" defaultColWidth="11.33203125" defaultRowHeight="13.2" x14ac:dyDescent="0.25"/>
  <cols>
    <col min="1" max="1" width="28" customWidth="1"/>
    <col min="2" max="2" width="16.109375" customWidth="1"/>
    <col min="3" max="3" width="17.109375" bestFit="1" customWidth="1"/>
    <col min="4" max="7" width="17.109375" customWidth="1"/>
    <col min="8" max="8" width="17.33203125" customWidth="1"/>
  </cols>
  <sheetData>
    <row r="1" spans="1:7" x14ac:dyDescent="0.25">
      <c r="A1" s="281" t="s">
        <v>405</v>
      </c>
      <c r="G1" s="282">
        <f>InfoInicial!E1</f>
        <v>11</v>
      </c>
    </row>
    <row r="2" spans="1:7" ht="15.6" x14ac:dyDescent="0.3">
      <c r="A2" s="428" t="s">
        <v>521</v>
      </c>
      <c r="B2" s="297"/>
      <c r="C2" s="297"/>
      <c r="D2" s="297"/>
      <c r="E2" s="297"/>
      <c r="F2" s="297"/>
      <c r="G2" s="298"/>
    </row>
    <row r="3" spans="1:7" ht="15.6" x14ac:dyDescent="0.3">
      <c r="A3" s="429"/>
      <c r="B3" s="430" t="s">
        <v>522</v>
      </c>
      <c r="C3" s="430"/>
      <c r="D3" s="430"/>
      <c r="E3" s="430"/>
      <c r="F3" s="430"/>
      <c r="G3" s="431"/>
    </row>
    <row r="4" spans="1:7" x14ac:dyDescent="0.25">
      <c r="A4" s="432" t="s">
        <v>407</v>
      </c>
      <c r="B4" s="433" t="s">
        <v>259</v>
      </c>
      <c r="C4" s="434" t="s">
        <v>92</v>
      </c>
      <c r="D4" s="434" t="s">
        <v>284</v>
      </c>
      <c r="E4" s="434" t="s">
        <v>285</v>
      </c>
      <c r="F4" s="434" t="s">
        <v>286</v>
      </c>
      <c r="G4" s="435" t="s">
        <v>287</v>
      </c>
    </row>
    <row r="5" spans="1:7" x14ac:dyDescent="0.25">
      <c r="A5" s="436" t="s">
        <v>523</v>
      </c>
      <c r="B5" s="437"/>
      <c r="C5" s="438"/>
      <c r="D5" s="438"/>
      <c r="E5" s="438"/>
      <c r="F5" s="439"/>
      <c r="G5" s="440"/>
    </row>
    <row r="6" spans="1:7" x14ac:dyDescent="0.25">
      <c r="A6" s="441" t="s">
        <v>431</v>
      </c>
      <c r="B6" s="442"/>
      <c r="C6" s="309">
        <f>'E-Costos'!B7*InfoInicial!$B$3</f>
        <v>89792301.347014144</v>
      </c>
      <c r="D6" s="309">
        <f>'E-Costos'!C7*InfoInicial!$B$3</f>
        <v>118742485.27488253</v>
      </c>
      <c r="E6" s="309">
        <f>'E-Costos'!D7*InfoInicial!$B$3</f>
        <v>118742485.27488253</v>
      </c>
      <c r="F6" s="310">
        <f>'E-Costos'!E7*InfoInicial!$B$3</f>
        <v>118742485.27488253</v>
      </c>
      <c r="G6" s="443">
        <f>'E-Costos'!F7*InfoInicial!$B$3</f>
        <v>118742485.27488253</v>
      </c>
    </row>
    <row r="7" spans="1:7" x14ac:dyDescent="0.25">
      <c r="A7" s="441" t="s">
        <v>278</v>
      </c>
      <c r="B7" s="442"/>
      <c r="C7" s="309">
        <f>'E-Costos'!B12*InfoInicial!$B$3</f>
        <v>2814720.446854298</v>
      </c>
      <c r="D7" s="309">
        <f>'E-Costos'!C12*InfoInicial!$B$3</f>
        <v>2814720.446854298</v>
      </c>
      <c r="E7" s="309">
        <f>'E-Costos'!D12*InfoInicial!$B$3</f>
        <v>2533248.4021688681</v>
      </c>
      <c r="F7" s="310">
        <f>'E-Costos'!E12*InfoInicial!$B$3</f>
        <v>2814720.446854298</v>
      </c>
      <c r="G7" s="443">
        <f>'E-Costos'!F12*InfoInicial!$B$3</f>
        <v>2814720.446854298</v>
      </c>
    </row>
    <row r="8" spans="1:7" x14ac:dyDescent="0.25">
      <c r="A8" s="441" t="s">
        <v>439</v>
      </c>
      <c r="B8" s="442"/>
      <c r="C8" s="309">
        <f>'E-Costos'!B13*InfoInicial!$B$3</f>
        <v>629965.33100430714</v>
      </c>
      <c r="D8" s="309">
        <f>'E-Costos'!C13*InfoInicial!$B$3</f>
        <v>662852.61349137593</v>
      </c>
      <c r="E8" s="309">
        <f>'E-Costos'!D13*InfoInicial!$B$3</f>
        <v>596567.35214223841</v>
      </c>
      <c r="F8" s="310">
        <f>'E-Costos'!E13*InfoInicial!$B$3</f>
        <v>662852.61349137593</v>
      </c>
      <c r="G8" s="443">
        <f>'E-Costos'!F13*InfoInicial!$B$3</f>
        <v>662852.61349137593</v>
      </c>
    </row>
    <row r="9" spans="1:7" x14ac:dyDescent="0.25">
      <c r="A9" s="441" t="s">
        <v>524</v>
      </c>
      <c r="B9" s="442"/>
      <c r="C9" s="309">
        <v>0</v>
      </c>
      <c r="D9" s="309">
        <v>0</v>
      </c>
      <c r="E9" s="309">
        <v>0</v>
      </c>
      <c r="F9" s="310">
        <v>0</v>
      </c>
      <c r="G9" s="443">
        <v>0</v>
      </c>
    </row>
    <row r="10" spans="1:7" x14ac:dyDescent="0.25">
      <c r="A10" s="441" t="s">
        <v>525</v>
      </c>
      <c r="B10" s="442"/>
      <c r="C10" s="309">
        <v>0</v>
      </c>
      <c r="D10" s="309">
        <v>0</v>
      </c>
      <c r="E10" s="309">
        <v>0</v>
      </c>
      <c r="F10" s="310">
        <v>0</v>
      </c>
      <c r="G10" s="443">
        <v>0</v>
      </c>
    </row>
    <row r="11" spans="1:7" x14ac:dyDescent="0.25">
      <c r="A11" s="441" t="s">
        <v>526</v>
      </c>
      <c r="B11" s="442"/>
      <c r="C11" s="309">
        <v>0</v>
      </c>
      <c r="D11" s="309">
        <v>0</v>
      </c>
      <c r="E11" s="309">
        <v>0</v>
      </c>
      <c r="F11" s="310">
        <v>0</v>
      </c>
      <c r="G11" s="443">
        <v>0</v>
      </c>
    </row>
    <row r="12" spans="1:7" x14ac:dyDescent="0.25">
      <c r="A12" s="444" t="s">
        <v>527</v>
      </c>
      <c r="B12" s="442"/>
      <c r="C12" s="309">
        <f>SUM(C6:C11)</f>
        <v>93236987.124872744</v>
      </c>
      <c r="D12" s="309">
        <f>SUM(D6:D11)</f>
        <v>122220058.33522819</v>
      </c>
      <c r="E12" s="309">
        <f>SUM(E6:E11)</f>
        <v>121872301.02919364</v>
      </c>
      <c r="F12" s="310">
        <f>SUM(F6:F11)</f>
        <v>122220058.33522819</v>
      </c>
      <c r="G12" s="443">
        <f>SUM(G6:G11)</f>
        <v>122220058.33522819</v>
      </c>
    </row>
    <row r="13" spans="1:7" x14ac:dyDescent="0.25">
      <c r="A13" s="441" t="s">
        <v>528</v>
      </c>
      <c r="B13" s="442"/>
      <c r="C13" s="309">
        <f>'E-Costos'!B42-'E-Costos'!B31</f>
        <v>12349447.824524485</v>
      </c>
      <c r="D13" s="309"/>
      <c r="E13" s="309"/>
      <c r="F13" s="310"/>
      <c r="G13" s="443"/>
    </row>
    <row r="14" spans="1:7" x14ac:dyDescent="0.25">
      <c r="A14" s="441" t="s">
        <v>529</v>
      </c>
      <c r="B14" s="445"/>
      <c r="C14" s="312"/>
      <c r="D14" s="312"/>
      <c r="E14" s="312"/>
      <c r="F14" s="313"/>
      <c r="G14" s="446"/>
    </row>
    <row r="15" spans="1:7" x14ac:dyDescent="0.25">
      <c r="A15" s="441" t="s">
        <v>530</v>
      </c>
      <c r="B15" s="442"/>
      <c r="C15" s="309">
        <f>'E-InvAT'!C12</f>
        <v>12479484.785987727</v>
      </c>
      <c r="D15" s="309">
        <f>'E-InvAT'!D12</f>
        <v>12447493.750982665</v>
      </c>
      <c r="E15" s="309">
        <f>'E-InvAT'!E12</f>
        <v>12447493.750982665</v>
      </c>
      <c r="F15" s="310">
        <f>'E-InvAT'!F12</f>
        <v>12447493.750982665</v>
      </c>
      <c r="G15" s="443">
        <f>'E-InvAT'!G12</f>
        <v>12447493.750982665</v>
      </c>
    </row>
    <row r="16" spans="1:7" x14ac:dyDescent="0.25">
      <c r="A16" s="441" t="s">
        <v>531</v>
      </c>
      <c r="B16" s="442"/>
      <c r="C16" s="309">
        <f>'E-InvAT'!C33</f>
        <v>1166708.7193808157</v>
      </c>
      <c r="D16" s="309">
        <f>'E-InvAT'!D33</f>
        <v>423051.88677984267</v>
      </c>
      <c r="E16" s="309">
        <f>'E-InvAT'!E33</f>
        <v>-3741.9476308827288</v>
      </c>
      <c r="F16" s="310">
        <f>'E-InvAT'!F33</f>
        <v>3741.9476308827288</v>
      </c>
      <c r="G16" s="443">
        <f>'E-InvAT'!G33</f>
        <v>0</v>
      </c>
    </row>
    <row r="17" spans="1:7" x14ac:dyDescent="0.25">
      <c r="A17" s="444" t="s">
        <v>532</v>
      </c>
      <c r="B17" s="442"/>
      <c r="C17" s="309">
        <f>C12-SUM(C13:C16)</f>
        <v>67241345.794979721</v>
      </c>
      <c r="D17" s="309">
        <f>D12-SUM(D13:D16)</f>
        <v>109349512.69746569</v>
      </c>
      <c r="E17" s="309">
        <f>E12-SUM(E13:E16)</f>
        <v>109428549.22584185</v>
      </c>
      <c r="F17" s="310">
        <f>F12-SUM(F13:F16)</f>
        <v>109768822.63661465</v>
      </c>
      <c r="G17" s="443">
        <f>G12-SUM(G13:G16)</f>
        <v>109772564.58424553</v>
      </c>
    </row>
    <row r="18" spans="1:7" x14ac:dyDescent="0.25">
      <c r="A18" s="444" t="s">
        <v>533</v>
      </c>
      <c r="B18" s="442"/>
      <c r="C18" s="309">
        <f>SUM('E-Costos'!B62:B65)*InfoInicial!$B$3</f>
        <v>73145.525957700011</v>
      </c>
      <c r="D18" s="309">
        <f>SUM('E-Costos'!C62:C65)*InfoInicial!$B$3</f>
        <v>73145.525957700011</v>
      </c>
      <c r="E18" s="309">
        <f>SUM('E-Costos'!D62:D65)*InfoInicial!$B$3</f>
        <v>65830.97336193001</v>
      </c>
      <c r="F18" s="309">
        <f>SUM('E-Costos'!E62:E65)*InfoInicial!$B$3</f>
        <v>73145.525957700011</v>
      </c>
      <c r="G18" s="311">
        <f>SUM('E-Costos'!F62:F65)*InfoInicial!$B$3</f>
        <v>73145.525957700011</v>
      </c>
    </row>
    <row r="19" spans="1:7" x14ac:dyDescent="0.25">
      <c r="A19" s="444" t="s">
        <v>534</v>
      </c>
      <c r="B19" s="442"/>
      <c r="C19" s="309">
        <f>SUM('E-Costos'!B83:B87)*InfoInicial!$B$3</f>
        <v>37802.516244612001</v>
      </c>
      <c r="D19" s="309">
        <f>SUM('E-Costos'!C83:C87)*InfoInicial!$B$3</f>
        <v>37802.516244612001</v>
      </c>
      <c r="E19" s="309">
        <f>SUM('E-Costos'!D83:D87)*InfoInicial!$B$3</f>
        <v>34022.264620150796</v>
      </c>
      <c r="F19" s="310">
        <f>SUM('E-Costos'!E83:E87)*InfoInicial!$B$3</f>
        <v>37802.516244612001</v>
      </c>
      <c r="G19" s="443">
        <f>SUM('E-Costos'!F83:F87)*InfoInicial!$B$3</f>
        <v>37802.516244612001</v>
      </c>
    </row>
    <row r="20" spans="1:7" x14ac:dyDescent="0.25">
      <c r="A20" s="444"/>
      <c r="B20" s="445"/>
      <c r="C20" s="312"/>
      <c r="D20" s="312"/>
      <c r="E20" s="312"/>
      <c r="F20" s="313"/>
      <c r="G20" s="446"/>
    </row>
    <row r="21" spans="1:7" ht="13.8" thickBot="1" x14ac:dyDescent="0.3">
      <c r="A21" s="441" t="s">
        <v>535</v>
      </c>
      <c r="B21" s="447"/>
      <c r="C21" s="448">
        <f>SUM(C17:C19)</f>
        <v>67352293.83718203</v>
      </c>
      <c r="D21" s="448">
        <f>SUM(D17:D19)</f>
        <v>109460460.739668</v>
      </c>
      <c r="E21" s="448">
        <f>SUM(E17:E19)</f>
        <v>109528402.46382393</v>
      </c>
      <c r="F21" s="449">
        <f>SUM(F17:F19)</f>
        <v>109879770.67881696</v>
      </c>
      <c r="G21" s="450">
        <f>SUM(G17:G19)</f>
        <v>109883512.62644784</v>
      </c>
    </row>
    <row r="22" spans="1:7" ht="13.8" thickTop="1" x14ac:dyDescent="0.25">
      <c r="A22" s="441" t="s">
        <v>536</v>
      </c>
      <c r="B22" s="451"/>
      <c r="C22" s="452">
        <f>'E-Costos'!B106*$B$32</f>
        <v>162144822</v>
      </c>
      <c r="D22" s="452">
        <f>'E-Costos'!C106*$B$32</f>
        <v>224888832</v>
      </c>
      <c r="E22" s="452">
        <f>'E-Costos'!D106*$B$32</f>
        <v>213644390.40000001</v>
      </c>
      <c r="F22" s="452">
        <f>'E-Costos'!E106*$B$32</f>
        <v>224888832</v>
      </c>
      <c r="G22" s="598">
        <f>'E-Costos'!F106*$B$32</f>
        <v>224888832</v>
      </c>
    </row>
    <row r="23" spans="1:7" x14ac:dyDescent="0.25">
      <c r="A23" s="444" t="s">
        <v>537</v>
      </c>
      <c r="B23" s="442"/>
      <c r="C23" s="453">
        <f>IF(C21&lt;0,C22+C21,C22-C21)</f>
        <v>94792528.16281797</v>
      </c>
      <c r="D23" s="453">
        <f>IF(D21&lt;0,D22+D21,D22-D21)</f>
        <v>115428371.260332</v>
      </c>
      <c r="E23" s="453">
        <f>IF(E21&lt;0,E22+E21,E22-E21)</f>
        <v>104115987.93617608</v>
      </c>
      <c r="F23" s="454">
        <f>IF(F21&lt;0,F22+F21,F22-F21)</f>
        <v>115009061.32118304</v>
      </c>
      <c r="G23" s="455">
        <f>IF(G21&lt;0,G22+G21,G22-G21)</f>
        <v>115005319.37355216</v>
      </c>
    </row>
    <row r="24" spans="1:7" x14ac:dyDescent="0.25">
      <c r="A24" s="441"/>
      <c r="B24" s="445"/>
      <c r="C24" s="312"/>
      <c r="D24" s="312"/>
      <c r="E24" s="312"/>
      <c r="F24" s="313"/>
      <c r="G24" s="446"/>
    </row>
    <row r="25" spans="1:7" x14ac:dyDescent="0.25">
      <c r="A25" s="456" t="s">
        <v>538</v>
      </c>
      <c r="B25" s="442"/>
      <c r="C25" s="309">
        <f>B27</f>
        <v>76313080.240174264</v>
      </c>
      <c r="D25" s="309">
        <f>C27</f>
        <v>2861373.6117923409</v>
      </c>
      <c r="E25" s="309">
        <f>D27</f>
        <v>0</v>
      </c>
      <c r="F25" s="310">
        <f>E27</f>
        <v>0</v>
      </c>
      <c r="G25" s="443">
        <f>F27</f>
        <v>0</v>
      </c>
    </row>
    <row r="26" spans="1:7" x14ac:dyDescent="0.25">
      <c r="A26" s="456" t="s">
        <v>539</v>
      </c>
      <c r="B26" s="442">
        <f>'E-Cal Inv.'!B23+'E-Cal Inv.'!C23</f>
        <v>76313080.240174264</v>
      </c>
      <c r="C26" s="309">
        <f>'E-Cal Inv.'!D23</f>
        <v>21340821.534436055</v>
      </c>
      <c r="D26" s="309">
        <f>'E-Cal Inv.'!E23</f>
        <v>-6718.1173510631916</v>
      </c>
      <c r="E26" s="309">
        <f>'E-Cal Inv.'!F23</f>
        <v>17163726.904109586</v>
      </c>
      <c r="F26" s="310">
        <f>'E-Cal Inv.'!G23</f>
        <v>-17163726.904109586</v>
      </c>
      <c r="G26" s="443">
        <f>'E-Cal Inv.'!H23</f>
        <v>0</v>
      </c>
    </row>
    <row r="27" spans="1:7" x14ac:dyDescent="0.25">
      <c r="A27" s="444" t="s">
        <v>540</v>
      </c>
      <c r="B27" s="442">
        <f>B26-B23</f>
        <v>76313080.240174264</v>
      </c>
      <c r="C27" s="309">
        <f>IF(C25+C26-C23&gt;0,C25+C26-C23,0)</f>
        <v>2861373.6117923409</v>
      </c>
      <c r="D27" s="309">
        <f>IF(D25+D26-D23&gt;0,D25+D26-D23,0)</f>
        <v>0</v>
      </c>
      <c r="E27" s="309">
        <f>IF(E25+E26-E23&gt;0,E25+E26-E23,0)</f>
        <v>0</v>
      </c>
      <c r="F27" s="310">
        <f>IF(F25+F26-F23&gt;0,F25+F26-F23,0)</f>
        <v>0</v>
      </c>
      <c r="G27" s="443">
        <f>IF(G25+G26-G23&gt;0,G25+G26-G23,0)</f>
        <v>0</v>
      </c>
    </row>
    <row r="28" spans="1:7" x14ac:dyDescent="0.25">
      <c r="A28" s="444" t="s">
        <v>541</v>
      </c>
      <c r="B28" s="442"/>
      <c r="C28" s="309">
        <f>IF(C25+C26&gt;C23,C23,IF(C23-C25-C26&gt;0,C25+C26,0))</f>
        <v>94792528.16281797</v>
      </c>
      <c r="D28" s="309">
        <f>IF(D25+D26&gt;D23,D23,IF(D23-D25-D26&gt;0,D25+D26,0))</f>
        <v>2854655.4944412778</v>
      </c>
      <c r="E28" s="309">
        <f>IF(E25+E26&gt;E23,E23,IF(E23-E25-E26&gt;0,E25+E26,0))</f>
        <v>17163726.904109586</v>
      </c>
      <c r="F28" s="310">
        <f>IF(F25+F26&gt;F23,F23,IF(F23-F25-F26&gt;0,F25+F26,0))</f>
        <v>-17163726.904109586</v>
      </c>
      <c r="G28" s="443">
        <f>IF(G25+G26&gt;G23,G23,IF(G23-G25-G26&gt;0,G25+G26,0))</f>
        <v>0</v>
      </c>
    </row>
    <row r="29" spans="1:7" x14ac:dyDescent="0.25">
      <c r="A29" s="441"/>
      <c r="B29" s="445"/>
      <c r="C29" s="312"/>
      <c r="D29" s="312"/>
      <c r="E29" s="312"/>
      <c r="F29" s="313"/>
      <c r="G29" s="446"/>
    </row>
    <row r="30" spans="1:7" x14ac:dyDescent="0.25">
      <c r="A30" s="457" t="s">
        <v>542</v>
      </c>
      <c r="B30" s="447"/>
      <c r="C30" s="448">
        <f>IF(C23-C27-C28&gt;0,C23-C27-C28,0)</f>
        <v>0</v>
      </c>
      <c r="D30" s="448">
        <f>IF(D23-D27-D28&gt;0,D23-D27-D28,0)</f>
        <v>112573715.76589073</v>
      </c>
      <c r="E30" s="448">
        <f>IF(E23-E27-E28&gt;0,E23-E27-E28,0)</f>
        <v>86952261.032066494</v>
      </c>
      <c r="F30" s="449">
        <f>IF(F23-F27-F28&gt;0,F23-F27-F28,0)</f>
        <v>132172788.22529262</v>
      </c>
      <c r="G30" s="450">
        <f>IF(G23-G27-G28&gt;0,G23-G27-G28,0)</f>
        <v>115005319.37355216</v>
      </c>
    </row>
    <row r="32" spans="1:7" x14ac:dyDescent="0.25">
      <c r="A32" s="294" t="s">
        <v>382</v>
      </c>
      <c r="B32" s="556">
        <v>0.21</v>
      </c>
    </row>
  </sheetData>
  <pageMargins left="0.25972222222222202" right="0.45972222222222198" top="1.27013888888889" bottom="1" header="0.511811023622047" footer="0.511811023622047"/>
  <pageSetup paperSize="9" fitToHeight="4" orientation="landscape"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FAADC"/>
    <pageSetUpPr fitToPage="1"/>
  </sheetPr>
  <dimension ref="A1:I57"/>
  <sheetViews>
    <sheetView topLeftCell="A40" zoomScale="80" zoomScaleNormal="80" workbookViewId="0">
      <selection activeCell="G7" sqref="G7"/>
    </sheetView>
  </sheetViews>
  <sheetFormatPr baseColWidth="10" defaultColWidth="11.33203125" defaultRowHeight="13.2" x14ac:dyDescent="0.25"/>
  <cols>
    <col min="1" max="1" width="45.33203125" customWidth="1"/>
    <col min="2" max="2" width="18.88671875" customWidth="1"/>
    <col min="3" max="3" width="17.44140625" customWidth="1"/>
    <col min="4" max="5" width="16.109375" customWidth="1"/>
    <col min="6" max="6" width="14.6640625" customWidth="1"/>
    <col min="7" max="7" width="17.44140625" customWidth="1"/>
  </cols>
  <sheetData>
    <row r="1" spans="1:7" x14ac:dyDescent="0.25">
      <c r="A1" s="281" t="s">
        <v>543</v>
      </c>
      <c r="E1" s="282">
        <f>InfoInicial!E1</f>
        <v>11</v>
      </c>
    </row>
    <row r="3" spans="1:7" ht="15.6" x14ac:dyDescent="0.3">
      <c r="A3" s="458" t="s">
        <v>544</v>
      </c>
      <c r="B3" s="643" t="s">
        <v>545</v>
      </c>
      <c r="C3" s="643"/>
      <c r="D3" s="644" t="s">
        <v>546</v>
      </c>
      <c r="E3" s="644"/>
    </row>
    <row r="4" spans="1:7" ht="15.6" x14ac:dyDescent="0.3">
      <c r="A4" s="459"/>
      <c r="B4" s="301" t="s">
        <v>259</v>
      </c>
      <c r="C4" s="301" t="s">
        <v>92</v>
      </c>
      <c r="D4" s="301" t="s">
        <v>259</v>
      </c>
      <c r="E4" s="303" t="s">
        <v>92</v>
      </c>
    </row>
    <row r="5" spans="1:7" x14ac:dyDescent="0.25">
      <c r="A5" s="326"/>
      <c r="B5" s="460"/>
      <c r="C5" s="460"/>
      <c r="D5" s="460"/>
      <c r="E5" s="460"/>
    </row>
    <row r="6" spans="1:7" x14ac:dyDescent="0.25">
      <c r="A6" s="333" t="s">
        <v>547</v>
      </c>
      <c r="B6" s="461"/>
      <c r="C6" s="461"/>
      <c r="D6" s="461"/>
      <c r="E6" s="461"/>
    </row>
    <row r="7" spans="1:7" x14ac:dyDescent="0.25">
      <c r="A7" s="354" t="s">
        <v>548</v>
      </c>
      <c r="B7" s="355">
        <f>+'DATA INV AF y AM'!G61</f>
        <v>84700000</v>
      </c>
      <c r="C7" s="355"/>
      <c r="D7" s="355"/>
      <c r="E7" s="355"/>
      <c r="G7">
        <v>84700000</v>
      </c>
    </row>
    <row r="8" spans="1:7" x14ac:dyDescent="0.25">
      <c r="A8" s="354" t="s">
        <v>549</v>
      </c>
      <c r="B8" s="355">
        <f>+'DATA INV AF y AM'!G65</f>
        <v>123077834.88000003</v>
      </c>
      <c r="C8" s="355"/>
      <c r="D8" s="355"/>
      <c r="E8" s="355"/>
    </row>
    <row r="9" spans="1:7" x14ac:dyDescent="0.25">
      <c r="A9" s="354" t="s">
        <v>550</v>
      </c>
      <c r="B9" s="355">
        <v>0</v>
      </c>
      <c r="C9" s="355"/>
      <c r="D9" s="355"/>
      <c r="E9" s="355"/>
    </row>
    <row r="10" spans="1:7" x14ac:dyDescent="0.25">
      <c r="A10" s="354" t="s">
        <v>551</v>
      </c>
      <c r="B10" s="355">
        <v>0</v>
      </c>
      <c r="C10" s="355"/>
      <c r="D10" s="355"/>
      <c r="E10" s="355"/>
    </row>
    <row r="11" spans="1:7" x14ac:dyDescent="0.25">
      <c r="A11" s="354" t="s">
        <v>552</v>
      </c>
      <c r="B11" s="355">
        <v>0</v>
      </c>
      <c r="C11" s="355"/>
      <c r="D11" s="355"/>
      <c r="E11" s="355"/>
    </row>
    <row r="12" spans="1:7" x14ac:dyDescent="0.25">
      <c r="A12" s="354" t="s">
        <v>553</v>
      </c>
      <c r="B12" s="355">
        <f>+'DATA INV AF y AM'!E75</f>
        <v>45231246.280000001</v>
      </c>
      <c r="C12" s="355"/>
      <c r="D12" s="355"/>
      <c r="E12" s="355"/>
    </row>
    <row r="13" spans="1:7" x14ac:dyDescent="0.25">
      <c r="A13" s="332" t="s">
        <v>554</v>
      </c>
      <c r="B13" s="355">
        <v>0</v>
      </c>
      <c r="C13" s="355"/>
      <c r="D13" s="355"/>
      <c r="E13" s="355"/>
    </row>
    <row r="14" spans="1:7" x14ac:dyDescent="0.25">
      <c r="A14" s="354" t="s">
        <v>555</v>
      </c>
      <c r="B14" s="355">
        <f>+'DATA INV AF y AM'!E76</f>
        <v>904624.92560000008</v>
      </c>
      <c r="C14" s="355"/>
      <c r="D14" s="355"/>
      <c r="E14" s="355"/>
    </row>
    <row r="15" spans="1:7" x14ac:dyDescent="0.25">
      <c r="A15" s="354" t="s">
        <v>556</v>
      </c>
      <c r="B15" s="355">
        <v>0</v>
      </c>
      <c r="C15" s="355"/>
      <c r="D15" s="355"/>
      <c r="E15" s="355"/>
    </row>
    <row r="16" spans="1:7" x14ac:dyDescent="0.25">
      <c r="A16" s="354" t="s">
        <v>557</v>
      </c>
      <c r="B16" s="355">
        <f>+'DATA INV AF y AM'!C80</f>
        <v>10348356.847603308</v>
      </c>
      <c r="C16" s="355"/>
      <c r="D16" s="355"/>
      <c r="E16" s="355"/>
    </row>
    <row r="17" spans="1:5" x14ac:dyDescent="0.25">
      <c r="A17" s="354" t="s">
        <v>558</v>
      </c>
      <c r="B17" s="355">
        <v>0</v>
      </c>
      <c r="C17" s="355"/>
      <c r="D17" s="355"/>
      <c r="E17" s="355"/>
    </row>
    <row r="18" spans="1:5" x14ac:dyDescent="0.25">
      <c r="A18" s="354" t="s">
        <v>559</v>
      </c>
      <c r="B18" s="355">
        <v>0</v>
      </c>
      <c r="C18" s="355"/>
      <c r="D18" s="355"/>
      <c r="E18" s="355"/>
    </row>
    <row r="19" spans="1:5" x14ac:dyDescent="0.25">
      <c r="A19" s="354" t="s">
        <v>448</v>
      </c>
      <c r="B19" s="355">
        <f>+SUM(B7:B18)*InfoInicial!B14</f>
        <v>23783585.6639883</v>
      </c>
      <c r="C19" s="355"/>
      <c r="D19" s="355"/>
      <c r="E19" s="355"/>
    </row>
    <row r="20" spans="1:5" x14ac:dyDescent="0.25">
      <c r="A20" s="354"/>
      <c r="B20" s="355"/>
      <c r="C20" s="355"/>
      <c r="D20" s="355"/>
      <c r="E20" s="355"/>
    </row>
    <row r="21" spans="1:5" x14ac:dyDescent="0.25">
      <c r="A21" s="333" t="s">
        <v>560</v>
      </c>
      <c r="B21" s="355">
        <f>+SUM(B7:B19)</f>
        <v>288045648.59719163</v>
      </c>
      <c r="C21" s="355"/>
      <c r="D21" s="355"/>
      <c r="E21" s="355"/>
    </row>
    <row r="22" spans="1:5" x14ac:dyDescent="0.25">
      <c r="A22" s="354"/>
      <c r="B22" s="405"/>
      <c r="C22" s="405"/>
      <c r="D22" s="405"/>
      <c r="E22" s="405"/>
    </row>
    <row r="23" spans="1:5" x14ac:dyDescent="0.25">
      <c r="A23" s="333" t="s">
        <v>561</v>
      </c>
      <c r="B23" s="405"/>
      <c r="C23" s="405"/>
      <c r="D23" s="405"/>
      <c r="E23" s="405"/>
    </row>
    <row r="24" spans="1:5" x14ac:dyDescent="0.25">
      <c r="A24" s="354" t="s">
        <v>400</v>
      </c>
      <c r="B24" s="355">
        <f>+'DATA INV AF y AM'!C85</f>
        <v>200000</v>
      </c>
      <c r="C24" s="355">
        <f>+'DATA INV AF y AM'!D85</f>
        <v>0</v>
      </c>
      <c r="D24" s="355"/>
      <c r="E24" s="355"/>
    </row>
    <row r="25" spans="1:5" x14ac:dyDescent="0.25">
      <c r="A25" s="354" t="s">
        <v>401</v>
      </c>
      <c r="B25" s="355">
        <f>+'DATA INV AF y AM'!C86</f>
        <v>150000</v>
      </c>
      <c r="C25" s="355">
        <f>+'DATA INV AF y AM'!D86</f>
        <v>0</v>
      </c>
      <c r="D25" s="355"/>
      <c r="E25" s="355"/>
    </row>
    <row r="26" spans="1:5" x14ac:dyDescent="0.25">
      <c r="A26" s="354" t="s">
        <v>402</v>
      </c>
      <c r="B26" s="355">
        <f>+'DATA INV AF y AM'!C87</f>
        <v>3692335.0464000008</v>
      </c>
      <c r="C26" s="355">
        <f>+'DATA INV AF y AM'!D87</f>
        <v>0</v>
      </c>
      <c r="D26" s="355"/>
      <c r="E26" s="355"/>
    </row>
    <row r="27" spans="1:5" x14ac:dyDescent="0.25">
      <c r="A27" s="332" t="s">
        <v>562</v>
      </c>
      <c r="B27" s="355">
        <f>+'DATA INV AF y AM'!C88</f>
        <v>0</v>
      </c>
      <c r="C27" s="355">
        <f>+'E-Costos'!G42</f>
        <v>-11287859.452788113</v>
      </c>
      <c r="D27" s="355"/>
      <c r="E27" s="355"/>
    </row>
    <row r="28" spans="1:5" x14ac:dyDescent="0.25">
      <c r="A28" s="332" t="s">
        <v>563</v>
      </c>
      <c r="B28" s="355">
        <f>+'DATA INV AF y AM'!C89</f>
        <v>0</v>
      </c>
      <c r="C28" s="355">
        <f>+'DATA INV AF y AM'!D89</f>
        <v>0</v>
      </c>
      <c r="D28" s="355"/>
      <c r="E28" s="355"/>
    </row>
    <row r="29" spans="1:5" x14ac:dyDescent="0.25">
      <c r="A29" s="332" t="s">
        <v>564</v>
      </c>
      <c r="B29" s="355">
        <f>+'DATA INV AF y AM'!C90</f>
        <v>0</v>
      </c>
      <c r="C29" s="355">
        <f>+'DATA INV AF y AM'!D90</f>
        <v>0</v>
      </c>
      <c r="D29" s="355"/>
      <c r="E29" s="355"/>
    </row>
    <row r="30" spans="1:5" x14ac:dyDescent="0.25">
      <c r="A30" s="332" t="s">
        <v>565</v>
      </c>
      <c r="B30" s="355">
        <f>+'DATA INV AF y AM'!C91</f>
        <v>0</v>
      </c>
      <c r="C30" s="355">
        <f>+'DATA INV AF y AM'!D91</f>
        <v>0</v>
      </c>
      <c r="D30" s="355"/>
      <c r="E30" s="355"/>
    </row>
    <row r="31" spans="1:5" x14ac:dyDescent="0.25">
      <c r="A31" s="354" t="s">
        <v>448</v>
      </c>
      <c r="B31" s="355">
        <f>+SUM(B24:B30)*InfoInicial!B14</f>
        <v>363810.15417600004</v>
      </c>
      <c r="C31" s="355">
        <f>+SUM(C24:C30)*InfoInicial!B14</f>
        <v>-1015907.3507509301</v>
      </c>
      <c r="D31" s="355"/>
      <c r="E31" s="355"/>
    </row>
    <row r="32" spans="1:5" x14ac:dyDescent="0.25">
      <c r="A32" s="354"/>
      <c r="B32" s="355"/>
      <c r="C32" s="355"/>
      <c r="D32" s="355"/>
      <c r="E32" s="355"/>
    </row>
    <row r="33" spans="1:7" x14ac:dyDescent="0.25">
      <c r="A33" s="333" t="s">
        <v>566</v>
      </c>
      <c r="B33" s="355">
        <f>+SUM(B24:B31)</f>
        <v>4406145.2005760008</v>
      </c>
      <c r="C33" s="355">
        <f>+SUM(C24:C31)</f>
        <v>-12303766.803539043</v>
      </c>
      <c r="D33" s="355"/>
      <c r="E33" s="355"/>
    </row>
    <row r="34" spans="1:7" x14ac:dyDescent="0.25">
      <c r="A34" s="354"/>
      <c r="B34" s="405"/>
      <c r="C34" s="405"/>
      <c r="D34" s="405"/>
      <c r="E34" s="405"/>
    </row>
    <row r="35" spans="1:7" x14ac:dyDescent="0.25">
      <c r="A35" s="333" t="s">
        <v>567</v>
      </c>
      <c r="B35" s="355">
        <f>+B33+B21</f>
        <v>292451793.79776764</v>
      </c>
      <c r="C35" s="355">
        <f>+C33</f>
        <v>-12303766.803539043</v>
      </c>
      <c r="D35" s="355"/>
      <c r="E35" s="355"/>
    </row>
    <row r="36" spans="1:7" x14ac:dyDescent="0.25">
      <c r="A36" s="333" t="s">
        <v>568</v>
      </c>
      <c r="B36" s="355">
        <f>+B35*InfoInicial!$B$3</f>
        <v>61414876.697531201</v>
      </c>
      <c r="C36" s="355">
        <f>+C35*InfoInicial!$B$3</f>
        <v>-2583791.0287431991</v>
      </c>
      <c r="D36" s="355"/>
      <c r="E36" s="355"/>
    </row>
    <row r="37" spans="1:7" x14ac:dyDescent="0.25">
      <c r="A37" s="354"/>
      <c r="B37" s="405"/>
      <c r="C37" s="405"/>
      <c r="D37" s="405"/>
      <c r="E37" s="405"/>
    </row>
    <row r="38" spans="1:7" x14ac:dyDescent="0.25">
      <c r="A38" s="462" t="s">
        <v>569</v>
      </c>
      <c r="B38" s="463">
        <f>+SUM(B35:B36)</f>
        <v>353866670.49529886</v>
      </c>
      <c r="C38" s="463">
        <f>+SUM(C35:C36)</f>
        <v>-14887557.832282241</v>
      </c>
      <c r="D38" s="463"/>
      <c r="E38" s="463"/>
    </row>
    <row r="39" spans="1:7" x14ac:dyDescent="0.25">
      <c r="A39" s="464" t="s">
        <v>570</v>
      </c>
    </row>
    <row r="41" spans="1:7" x14ac:dyDescent="0.25">
      <c r="A41" s="370" t="s">
        <v>571</v>
      </c>
      <c r="B41" s="344" t="s">
        <v>572</v>
      </c>
      <c r="C41" s="344" t="s">
        <v>573</v>
      </c>
      <c r="D41" s="643" t="s">
        <v>574</v>
      </c>
      <c r="E41" s="643"/>
      <c r="F41" s="643"/>
      <c r="G41" s="465" t="s">
        <v>575</v>
      </c>
    </row>
    <row r="42" spans="1:7" x14ac:dyDescent="0.25">
      <c r="A42" s="341"/>
      <c r="B42" s="301" t="s">
        <v>576</v>
      </c>
      <c r="C42" s="301"/>
      <c r="D42" s="301" t="s">
        <v>577</v>
      </c>
      <c r="E42" s="301" t="s">
        <v>578</v>
      </c>
      <c r="F42" s="301"/>
      <c r="G42" s="466"/>
    </row>
    <row r="43" spans="1:7" x14ac:dyDescent="0.25">
      <c r="A43" s="358" t="s">
        <v>579</v>
      </c>
      <c r="B43" s="467"/>
      <c r="C43" s="467"/>
      <c r="D43" s="467"/>
      <c r="E43" s="467"/>
      <c r="F43" s="468"/>
      <c r="G43" s="469"/>
    </row>
    <row r="44" spans="1:7" x14ac:dyDescent="0.25">
      <c r="A44" s="361"/>
      <c r="B44" s="470"/>
      <c r="C44" s="470"/>
      <c r="D44" s="470"/>
      <c r="E44" s="470"/>
      <c r="F44" s="471"/>
      <c r="G44" s="472"/>
    </row>
    <row r="45" spans="1:7" x14ac:dyDescent="0.25">
      <c r="A45" s="354" t="s">
        <v>548</v>
      </c>
      <c r="B45" s="355">
        <f>+B7</f>
        <v>84700000</v>
      </c>
      <c r="C45" s="355"/>
      <c r="D45" s="355">
        <f t="shared" ref="D45:D51" si="0">+B45*C45</f>
        <v>0</v>
      </c>
      <c r="E45" s="355">
        <f t="shared" ref="E45:E51" si="1">+D45</f>
        <v>0</v>
      </c>
      <c r="F45" s="355"/>
      <c r="G45" s="363">
        <f t="shared" ref="G45:G51" si="2">+B45-3*D45-2*E45</f>
        <v>84700000</v>
      </c>
    </row>
    <row r="46" spans="1:7" x14ac:dyDescent="0.25">
      <c r="A46" s="354" t="s">
        <v>549</v>
      </c>
      <c r="B46" s="355">
        <f>+B8</f>
        <v>123077834.88000003</v>
      </c>
      <c r="C46" s="473">
        <f>1/InfoInicial!B8</f>
        <v>3.3333333333333333E-2</v>
      </c>
      <c r="D46" s="355">
        <f t="shared" si="0"/>
        <v>4102594.4960000007</v>
      </c>
      <c r="E46" s="355">
        <f t="shared" si="1"/>
        <v>4102594.4960000007</v>
      </c>
      <c r="F46" s="355"/>
      <c r="G46" s="363">
        <f t="shared" si="2"/>
        <v>102564862.40000002</v>
      </c>
    </row>
    <row r="47" spans="1:7" x14ac:dyDescent="0.25">
      <c r="A47" s="354" t="s">
        <v>550</v>
      </c>
      <c r="B47" s="355"/>
      <c r="C47" s="473">
        <f>1/InfoInicial!B9</f>
        <v>0.1</v>
      </c>
      <c r="D47" s="355">
        <f t="shared" si="0"/>
        <v>0</v>
      </c>
      <c r="E47" s="355">
        <f t="shared" si="1"/>
        <v>0</v>
      </c>
      <c r="F47" s="355"/>
      <c r="G47" s="363">
        <f t="shared" si="2"/>
        <v>0</v>
      </c>
    </row>
    <row r="48" spans="1:7" x14ac:dyDescent="0.25">
      <c r="A48" s="332" t="s">
        <v>551</v>
      </c>
      <c r="B48" s="355">
        <f>+B12+B14</f>
        <v>46135871.205600001</v>
      </c>
      <c r="C48" s="473">
        <f>1/InfoInicial!B10</f>
        <v>0.1</v>
      </c>
      <c r="D48" s="355">
        <f t="shared" si="0"/>
        <v>4613587.1205600007</v>
      </c>
      <c r="E48" s="355">
        <f t="shared" si="1"/>
        <v>4613587.1205600007</v>
      </c>
      <c r="F48" s="355"/>
      <c r="G48" s="363">
        <f t="shared" si="2"/>
        <v>23067935.602799997</v>
      </c>
    </row>
    <row r="49" spans="1:9" x14ac:dyDescent="0.25">
      <c r="A49" s="332" t="s">
        <v>556</v>
      </c>
      <c r="B49" s="355">
        <v>0</v>
      </c>
      <c r="C49" s="473">
        <f>1/InfoInicial!B11</f>
        <v>0.2</v>
      </c>
      <c r="D49" s="355">
        <f t="shared" si="0"/>
        <v>0</v>
      </c>
      <c r="E49" s="355">
        <f t="shared" si="1"/>
        <v>0</v>
      </c>
      <c r="F49" s="355"/>
      <c r="G49" s="363">
        <f t="shared" si="2"/>
        <v>0</v>
      </c>
    </row>
    <row r="50" spans="1:9" x14ac:dyDescent="0.25">
      <c r="A50" s="332" t="s">
        <v>580</v>
      </c>
      <c r="B50" s="355">
        <f>+'E-Inv AF y Am'!B16</f>
        <v>10348356.847603308</v>
      </c>
      <c r="C50" s="473">
        <f>1/InfoInicial!B12</f>
        <v>0.2</v>
      </c>
      <c r="D50" s="355">
        <f t="shared" si="0"/>
        <v>2069671.3695206617</v>
      </c>
      <c r="E50" s="355">
        <f t="shared" si="1"/>
        <v>2069671.3695206617</v>
      </c>
      <c r="F50" s="355"/>
      <c r="G50" s="363">
        <f t="shared" si="2"/>
        <v>0</v>
      </c>
    </row>
    <row r="51" spans="1:9" x14ac:dyDescent="0.25">
      <c r="A51" s="332" t="s">
        <v>448</v>
      </c>
      <c r="B51" s="355">
        <f>+B19</f>
        <v>23783585.6639883</v>
      </c>
      <c r="C51" s="473">
        <v>0.12</v>
      </c>
      <c r="D51" s="355">
        <f t="shared" si="0"/>
        <v>2854030.2796785957</v>
      </c>
      <c r="E51" s="355">
        <f t="shared" si="1"/>
        <v>2854030.2796785957</v>
      </c>
      <c r="F51" s="355"/>
      <c r="G51" s="363">
        <f t="shared" si="2"/>
        <v>9513434.2655953206</v>
      </c>
    </row>
    <row r="52" spans="1:9" x14ac:dyDescent="0.25">
      <c r="A52" s="395" t="s">
        <v>527</v>
      </c>
      <c r="B52" s="355">
        <f>+SUM(B45:B51)</f>
        <v>288045648.59719163</v>
      </c>
      <c r="C52" s="355"/>
      <c r="D52" s="355">
        <f>+SUM(D45:D51)</f>
        <v>13639883.265759259</v>
      </c>
      <c r="E52" s="355">
        <f>+SUM(E45:E51)</f>
        <v>13639883.265759259</v>
      </c>
      <c r="F52" s="355"/>
      <c r="G52" s="592">
        <f>+SUM(G45:G51)</f>
        <v>219846232.26839536</v>
      </c>
    </row>
    <row r="53" spans="1:9" x14ac:dyDescent="0.25">
      <c r="A53" s="333"/>
      <c r="B53" s="375"/>
      <c r="C53" s="474"/>
      <c r="D53" s="475"/>
      <c r="E53" s="475"/>
      <c r="F53" s="475"/>
      <c r="G53" s="376"/>
    </row>
    <row r="54" spans="1:9" x14ac:dyDescent="0.25">
      <c r="A54" s="395" t="s">
        <v>581</v>
      </c>
      <c r="B54" s="355">
        <f>+B33+C33</f>
        <v>-7897621.6029630424</v>
      </c>
      <c r="C54" s="355">
        <f>1/InfoInicial!B13</f>
        <v>0.2</v>
      </c>
      <c r="D54" s="355">
        <f>+B54*C54</f>
        <v>-1579524.3205926085</v>
      </c>
      <c r="E54" s="355">
        <f>+D54</f>
        <v>-1579524.3205926085</v>
      </c>
      <c r="F54" s="355"/>
      <c r="G54" s="363">
        <f>+B54-3*D54-2*E54</f>
        <v>0</v>
      </c>
    </row>
    <row r="55" spans="1:9" x14ac:dyDescent="0.25">
      <c r="A55" s="395"/>
      <c r="B55" s="355"/>
      <c r="C55" s="355"/>
      <c r="D55" s="355"/>
      <c r="E55" s="355"/>
      <c r="F55" s="355"/>
      <c r="G55" s="363"/>
    </row>
    <row r="56" spans="1:9" x14ac:dyDescent="0.25">
      <c r="A56" s="333"/>
      <c r="B56" s="461"/>
      <c r="C56" s="461"/>
      <c r="D56" s="476"/>
      <c r="E56" s="477"/>
      <c r="F56" s="477"/>
      <c r="G56" s="478"/>
      <c r="H56" s="479"/>
      <c r="I56" s="479"/>
    </row>
    <row r="57" spans="1:9" x14ac:dyDescent="0.25">
      <c r="A57" s="462" t="s">
        <v>582</v>
      </c>
      <c r="B57" s="463">
        <f>+B52+B54</f>
        <v>280148026.9942286</v>
      </c>
      <c r="C57" s="463"/>
      <c r="D57" s="463">
        <f>+D54+D52</f>
        <v>12060358.945166651</v>
      </c>
      <c r="E57" s="463">
        <f>+E54+E52</f>
        <v>12060358.945166651</v>
      </c>
      <c r="F57" s="463"/>
      <c r="G57" s="480">
        <f>+G54+G52</f>
        <v>219846232.26839536</v>
      </c>
      <c r="H57" s="481"/>
      <c r="I57" s="481"/>
    </row>
  </sheetData>
  <mergeCells count="3">
    <mergeCell ref="B3:C3"/>
    <mergeCell ref="D3:E3"/>
    <mergeCell ref="D41:F41"/>
  </mergeCells>
  <pageMargins left="0.42986111111111103" right="0.75" top="0.55972222222222201" bottom="1.4298611111111099" header="0.511811023622047" footer="0.511811023622047"/>
  <pageSetup paperSize="9" fitToHeight="3" orientation="landscape"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FAADC"/>
    <pageSetUpPr fitToPage="1"/>
  </sheetPr>
  <dimension ref="A1:J36"/>
  <sheetViews>
    <sheetView topLeftCell="A12" zoomScale="90" zoomScaleNormal="90" workbookViewId="0">
      <selection activeCell="E8" sqref="E8"/>
    </sheetView>
  </sheetViews>
  <sheetFormatPr baseColWidth="10" defaultColWidth="11.33203125" defaultRowHeight="13.2" x14ac:dyDescent="0.25"/>
  <cols>
    <col min="1" max="1" width="45.44140625" customWidth="1"/>
    <col min="2" max="2" width="16" customWidth="1"/>
    <col min="3" max="3" width="16.33203125" customWidth="1"/>
    <col min="4" max="4" width="18.6640625" customWidth="1"/>
    <col min="5" max="5" width="17.44140625" customWidth="1"/>
    <col min="6" max="6" width="16.88671875" customWidth="1"/>
    <col min="7" max="7" width="19.88671875" customWidth="1"/>
    <col min="8" max="8" width="17.33203125" customWidth="1"/>
  </cols>
  <sheetData>
    <row r="1" spans="1:10" x14ac:dyDescent="0.25">
      <c r="A1" s="281" t="s">
        <v>405</v>
      </c>
      <c r="E1" s="282">
        <f>InfoInicial!E1</f>
        <v>11</v>
      </c>
    </row>
    <row r="2" spans="1:10" x14ac:dyDescent="0.25">
      <c r="A2" s="281"/>
    </row>
    <row r="3" spans="1:10" ht="15.6" x14ac:dyDescent="0.3">
      <c r="A3" s="296" t="s">
        <v>583</v>
      </c>
      <c r="B3" s="297"/>
      <c r="C3" s="297"/>
      <c r="D3" s="297"/>
      <c r="E3" s="297"/>
      <c r="F3" s="297"/>
      <c r="G3" s="298"/>
    </row>
    <row r="4" spans="1:10" x14ac:dyDescent="0.25">
      <c r="A4" s="299" t="s">
        <v>407</v>
      </c>
      <c r="B4" s="301" t="s">
        <v>259</v>
      </c>
      <c r="C4" s="301" t="s">
        <v>92</v>
      </c>
      <c r="D4" s="301" t="s">
        <v>284</v>
      </c>
      <c r="E4" s="301" t="s">
        <v>285</v>
      </c>
      <c r="F4" s="301" t="s">
        <v>286</v>
      </c>
      <c r="G4" s="303" t="s">
        <v>287</v>
      </c>
    </row>
    <row r="5" spans="1:10" x14ac:dyDescent="0.25">
      <c r="A5" s="304" t="s">
        <v>584</v>
      </c>
      <c r="B5" s="305"/>
      <c r="C5" s="305"/>
      <c r="D5" s="305"/>
      <c r="E5" s="305"/>
      <c r="F5" s="305"/>
      <c r="G5" s="307"/>
    </row>
    <row r="6" spans="1:10" x14ac:dyDescent="0.25">
      <c r="A6" s="308" t="s">
        <v>585</v>
      </c>
      <c r="B6" s="309">
        <f>+C6*'DATA E-InvAT'!D32</f>
        <v>3977625.6000000001</v>
      </c>
      <c r="C6" s="309">
        <f>+'DATA E-InvAT'!C64*InfoInicial!B19*'DATA E-InvAT'!D31</f>
        <v>19888128</v>
      </c>
      <c r="D6" s="202">
        <f>+C6</f>
        <v>19888128</v>
      </c>
      <c r="E6" s="309">
        <f>+C6</f>
        <v>19888128</v>
      </c>
      <c r="F6" s="309">
        <f>+C6</f>
        <v>19888128</v>
      </c>
      <c r="G6" s="311">
        <f>+C6</f>
        <v>19888128</v>
      </c>
    </row>
    <row r="7" spans="1:10" x14ac:dyDescent="0.25">
      <c r="A7" s="308" t="s">
        <v>586</v>
      </c>
      <c r="B7" s="309"/>
      <c r="C7" s="309">
        <f>+'DATA E-InvAT'!C64*InfoInicial!B19*'DATA E-InvAT'!B33/365</f>
        <v>81732032.876712322</v>
      </c>
      <c r="D7" s="309">
        <f>+C7</f>
        <v>81732032.876712322</v>
      </c>
      <c r="E7" s="309">
        <f>+C7*J7</f>
        <v>163464065.75342464</v>
      </c>
      <c r="F7" s="309">
        <f>+C7</f>
        <v>81732032.876712322</v>
      </c>
      <c r="G7" s="311">
        <f>+C7</f>
        <v>81732032.876712322</v>
      </c>
      <c r="I7" t="s">
        <v>587</v>
      </c>
      <c r="J7">
        <v>2</v>
      </c>
    </row>
    <row r="8" spans="1:10" x14ac:dyDescent="0.25">
      <c r="A8" s="308"/>
      <c r="B8" s="312"/>
      <c r="C8" s="312"/>
      <c r="D8" s="312"/>
      <c r="E8" s="312"/>
      <c r="F8" s="312"/>
      <c r="G8" s="314"/>
    </row>
    <row r="9" spans="1:10" x14ac:dyDescent="0.25">
      <c r="A9" s="304" t="s">
        <v>588</v>
      </c>
      <c r="B9" s="312">
        <f t="shared" ref="B9:G9" si="0">SUM(B10:B13)</f>
        <v>66966200.793538392</v>
      </c>
      <c r="C9" s="312">
        <f t="shared" si="0"/>
        <v>90170762.07053636</v>
      </c>
      <c r="D9" s="312">
        <f t="shared" si="0"/>
        <v>90039916.232309297</v>
      </c>
      <c r="E9" s="312">
        <f t="shared" si="0"/>
        <v>90039916.232309297</v>
      </c>
      <c r="F9" s="312">
        <f t="shared" si="0"/>
        <v>90039916.232309297</v>
      </c>
      <c r="G9" s="314">
        <f t="shared" si="0"/>
        <v>90039916.232309297</v>
      </c>
    </row>
    <row r="10" spans="1:10" x14ac:dyDescent="0.25">
      <c r="A10" s="308" t="s">
        <v>589</v>
      </c>
      <c r="B10" s="309">
        <f>+'DATA E-InvAT'!I6*'DATA E-InvAT'!C11</f>
        <v>61505543.841969207</v>
      </c>
      <c r="C10" s="309">
        <f>+'DATA E-InvAT'!I6*'DATA E-InvAT'!D11</f>
        <v>63945086.032706633</v>
      </c>
      <c r="D10" s="309">
        <f>+'DATA E-InvAT'!I6*'DATA E-InvAT'!E11</f>
        <v>63945086.032706633</v>
      </c>
      <c r="E10" s="309">
        <f>+D10</f>
        <v>63945086.032706633</v>
      </c>
      <c r="F10" s="309">
        <f>+D10</f>
        <v>63945086.032706633</v>
      </c>
      <c r="G10" s="311">
        <f>+D10</f>
        <v>63945086.032706633</v>
      </c>
    </row>
    <row r="11" spans="1:10" x14ac:dyDescent="0.25">
      <c r="A11" s="308" t="s">
        <v>590</v>
      </c>
      <c r="B11" s="309">
        <f>0.8*C11</f>
        <v>5460656.9515691865</v>
      </c>
      <c r="C11" s="309">
        <f>+'DATA E-COSTOS'!C220*'DATA E-InvAT'!B41/12+'DATA E-COSTOS'!C221*'DATA E-InvAT'!B42/12+'DATA E-COSTOS'!C222*'DATA E-InvAT'!B43/12</f>
        <v>6825821.1894614827</v>
      </c>
      <c r="D11" s="309">
        <f>+'DATA E-COSTOS'!D220*'DATA E-InvAT'!B41/12+'DATA E-COSTOS'!D221/12+'DATA E-COSTOS'!D222/12</f>
        <v>6825821.1894614827</v>
      </c>
      <c r="E11" s="309">
        <f>+D11</f>
        <v>6825821.1894614827</v>
      </c>
      <c r="F11" s="309">
        <f>+D11</f>
        <v>6825821.1894614827</v>
      </c>
      <c r="G11" s="311">
        <f>+D11</f>
        <v>6825821.1894614827</v>
      </c>
    </row>
    <row r="12" spans="1:10" x14ac:dyDescent="0.25">
      <c r="A12" s="308" t="s">
        <v>591</v>
      </c>
      <c r="B12" s="309"/>
      <c r="C12" s="309">
        <f>+'E-Costos'!B42</f>
        <v>12479484.785987727</v>
      </c>
      <c r="D12" s="309">
        <f>+'E-Costos'!C42</f>
        <v>12447493.750982665</v>
      </c>
      <c r="E12" s="309">
        <f>+D12</f>
        <v>12447493.750982665</v>
      </c>
      <c r="F12" s="309">
        <f>+D12</f>
        <v>12447493.750982665</v>
      </c>
      <c r="G12" s="311">
        <f>+D12</f>
        <v>12447493.750982665</v>
      </c>
    </row>
    <row r="13" spans="1:10" x14ac:dyDescent="0.25">
      <c r="A13" s="308" t="s">
        <v>592</v>
      </c>
      <c r="B13" s="309"/>
      <c r="C13" s="309">
        <f>+'DATA E-InvAT'!D6*'E-Costos'!B51</f>
        <v>6920370.0623805085</v>
      </c>
      <c r="D13" s="309">
        <f>+'DATA E-InvAT'!E6*'E-Costos'!C51</f>
        <v>6821515.2591585089</v>
      </c>
      <c r="E13" s="309">
        <f>+D13</f>
        <v>6821515.2591585089</v>
      </c>
      <c r="F13" s="309">
        <f>+D13</f>
        <v>6821515.2591585089</v>
      </c>
      <c r="G13" s="311">
        <f>+D13</f>
        <v>6821515.2591585089</v>
      </c>
    </row>
    <row r="14" spans="1:10" x14ac:dyDescent="0.25">
      <c r="A14" s="308"/>
      <c r="B14" s="312"/>
      <c r="C14" s="312"/>
      <c r="D14" s="312"/>
      <c r="E14" s="312"/>
      <c r="F14" s="312"/>
      <c r="G14" s="314"/>
    </row>
    <row r="15" spans="1:10" x14ac:dyDescent="0.25">
      <c r="A15" s="304" t="s">
        <v>593</v>
      </c>
      <c r="B15" s="309">
        <f t="shared" ref="B15:G15" si="1">B6+B7+B9</f>
        <v>70943826.393538386</v>
      </c>
      <c r="C15" s="309">
        <f t="shared" si="1"/>
        <v>191790922.9472487</v>
      </c>
      <c r="D15" s="309">
        <f t="shared" si="1"/>
        <v>191660077.1090216</v>
      </c>
      <c r="E15" s="309">
        <f t="shared" si="1"/>
        <v>273392109.98573393</v>
      </c>
      <c r="F15" s="309">
        <f t="shared" si="1"/>
        <v>191660077.1090216</v>
      </c>
      <c r="G15" s="311">
        <f t="shared" si="1"/>
        <v>191660077.1090216</v>
      </c>
    </row>
    <row r="16" spans="1:10" x14ac:dyDescent="0.25">
      <c r="A16" s="304" t="s">
        <v>594</v>
      </c>
      <c r="B16" s="312">
        <f t="shared" ref="B16:G16" si="2">SUM(B17:B20)</f>
        <v>0</v>
      </c>
      <c r="C16" s="312">
        <f t="shared" si="2"/>
        <v>14604700.57830872</v>
      </c>
      <c r="D16" s="312">
        <f t="shared" si="2"/>
        <v>14073251.538330678</v>
      </c>
      <c r="E16" s="312">
        <f t="shared" si="2"/>
        <v>28616253.087122746</v>
      </c>
      <c r="F16" s="312">
        <f t="shared" si="2"/>
        <v>14083985.713917168</v>
      </c>
      <c r="G16" s="314">
        <f t="shared" si="2"/>
        <v>14075930.672340661</v>
      </c>
    </row>
    <row r="17" spans="1:7" x14ac:dyDescent="0.25">
      <c r="A17" s="308" t="s">
        <v>595</v>
      </c>
      <c r="B17" s="309"/>
      <c r="C17" s="309">
        <f>+'E-Costos'!B33</f>
        <v>30109.220648104427</v>
      </c>
      <c r="D17" s="309">
        <f>+'E-Costos'!C33</f>
        <v>21708.749382744998</v>
      </c>
      <c r="E17" s="309">
        <f>+'E-Costos'!D33</f>
        <v>21708.749382744998</v>
      </c>
      <c r="F17" s="309">
        <f>+'E-Costos'!E33</f>
        <v>21708.749382744998</v>
      </c>
      <c r="G17" s="311">
        <f>+'E-Costos'!F33</f>
        <v>21708.749382744998</v>
      </c>
    </row>
    <row r="18" spans="1:7" x14ac:dyDescent="0.25">
      <c r="A18" s="308" t="s">
        <v>596</v>
      </c>
      <c r="B18" s="309"/>
      <c r="C18" s="309">
        <f>('E-Costos'!B10-'E-InvAT'!C17+'E-InvAT'!B17)/'DATA E-InvAT'!D7*'DATA E-InvAT'!D6</f>
        <v>144340.73838711152</v>
      </c>
      <c r="D18" s="309">
        <f>('E-Costos'!C10-'E-InvAT'!D17+'E-InvAT'!C17)/'DATA E-InvAT'!E7*'DATA E-InvAT'!E6</f>
        <v>104439.93099770667</v>
      </c>
      <c r="E18" s="309">
        <f>+('E-Costos'!D10-'E-InvAT'!E17+'E-InvAT'!D17)/'DATA E-InvAT'!E7*'DATA E-InvAT'!E6</f>
        <v>104359.16445352166</v>
      </c>
      <c r="F18" s="309">
        <f>'E-Costos'!E10/'DATA E-InvAT'!E7*'DATA E-InvAT'!E6</f>
        <v>104359.16445352166</v>
      </c>
      <c r="G18" s="311">
        <f>+'E-Costos'!F10/'DATA E-InvAT'!E7*'DATA E-InvAT'!E6</f>
        <v>104359.16445352166</v>
      </c>
    </row>
    <row r="19" spans="1:7" x14ac:dyDescent="0.25">
      <c r="A19" s="308" t="s">
        <v>597</v>
      </c>
      <c r="B19" s="309"/>
      <c r="C19" s="309">
        <f>+C7*'E-Costos'!B140</f>
        <v>13450851.862551898</v>
      </c>
      <c r="D19" s="309">
        <f>+D7*'E-Costos'!C140</f>
        <v>13947102.857950225</v>
      </c>
      <c r="E19" s="309">
        <f>+E7*'E-Costos'!D140</f>
        <v>28490185.173286479</v>
      </c>
      <c r="F19" s="309">
        <f>+F7*'E-Costos'!E140</f>
        <v>13957917.800080901</v>
      </c>
      <c r="G19" s="311">
        <f>+G7*'E-Costos'!F140</f>
        <v>13949862.758504394</v>
      </c>
    </row>
    <row r="20" spans="1:7" x14ac:dyDescent="0.25">
      <c r="A20" s="308" t="s">
        <v>598</v>
      </c>
      <c r="B20" s="309"/>
      <c r="C20" s="309">
        <f>('E-Costos'!B144-'E-InvAT'!C17-'E-InvAT'!C18+'E-InvAT'!B17+'E-InvAT'!B18)/365*'DATA E-InvAT'!B33</f>
        <v>979398.75672160601</v>
      </c>
      <c r="D20" s="309"/>
      <c r="E20" s="309"/>
      <c r="F20" s="309"/>
      <c r="G20" s="311"/>
    </row>
    <row r="21" spans="1:7" x14ac:dyDescent="0.25">
      <c r="A21" s="308"/>
      <c r="B21" s="312"/>
      <c r="C21" s="312"/>
      <c r="D21" s="312"/>
      <c r="E21" s="312"/>
      <c r="F21" s="312"/>
      <c r="G21" s="314"/>
    </row>
    <row r="22" spans="1:7" x14ac:dyDescent="0.25">
      <c r="A22" s="304" t="s">
        <v>599</v>
      </c>
      <c r="B22" s="309">
        <f t="shared" ref="B22:G22" si="3">+B15-B16</f>
        <v>70943826.393538386</v>
      </c>
      <c r="C22" s="309">
        <f t="shared" si="3"/>
        <v>177186222.36893997</v>
      </c>
      <c r="D22" s="309">
        <f t="shared" si="3"/>
        <v>177586825.57069093</v>
      </c>
      <c r="E22" s="309">
        <f t="shared" si="3"/>
        <v>244775856.89861119</v>
      </c>
      <c r="F22" s="309">
        <f t="shared" si="3"/>
        <v>177576091.39510444</v>
      </c>
      <c r="G22" s="311">
        <f t="shared" si="3"/>
        <v>177584146.43668094</v>
      </c>
    </row>
    <row r="23" spans="1:7" x14ac:dyDescent="0.25">
      <c r="A23" s="308"/>
      <c r="B23" s="312"/>
      <c r="C23" s="312"/>
      <c r="D23" s="312"/>
      <c r="E23" s="312"/>
      <c r="F23" s="312"/>
      <c r="G23" s="314"/>
    </row>
    <row r="24" spans="1:7" x14ac:dyDescent="0.25">
      <c r="A24" s="304" t="s">
        <v>600</v>
      </c>
      <c r="B24" s="309">
        <f>B15</f>
        <v>70943826.393538386</v>
      </c>
      <c r="C24" s="309">
        <f>C15-B15</f>
        <v>120847096.55371031</v>
      </c>
      <c r="D24" s="309">
        <f>D15-C15</f>
        <v>-130845.83822709322</v>
      </c>
      <c r="E24" s="309">
        <f>E15-D15</f>
        <v>81732032.876712322</v>
      </c>
      <c r="F24" s="309">
        <f>F15-E15</f>
        <v>-81732032.876712322</v>
      </c>
      <c r="G24" s="311">
        <f>G15-F15</f>
        <v>0</v>
      </c>
    </row>
    <row r="25" spans="1:7" x14ac:dyDescent="0.25">
      <c r="A25" s="304" t="s">
        <v>601</v>
      </c>
      <c r="B25" s="309">
        <f>B22</f>
        <v>70943826.393538386</v>
      </c>
      <c r="C25" s="309">
        <f>C22-B22</f>
        <v>106242395.97540158</v>
      </c>
      <c r="D25" s="309">
        <f>D22-C22</f>
        <v>400603.20175096393</v>
      </c>
      <c r="E25" s="309">
        <f>E22-D22</f>
        <v>67189031.327920258</v>
      </c>
      <c r="F25" s="309">
        <f>F22-E22</f>
        <v>-67199765.50350675</v>
      </c>
      <c r="G25" s="311">
        <f>G22-F22</f>
        <v>8055.0415765047073</v>
      </c>
    </row>
    <row r="26" spans="1:7" x14ac:dyDescent="0.25">
      <c r="A26" s="308"/>
      <c r="B26" s="312"/>
      <c r="C26" s="312"/>
      <c r="D26" s="312"/>
      <c r="E26" s="312"/>
      <c r="F26" s="312"/>
      <c r="G26" s="314"/>
    </row>
    <row r="27" spans="1:7" x14ac:dyDescent="0.25">
      <c r="A27" s="304" t="s">
        <v>602</v>
      </c>
      <c r="B27" s="312"/>
      <c r="C27" s="312"/>
      <c r="D27" s="312"/>
      <c r="E27" s="312"/>
      <c r="F27" s="312"/>
      <c r="G27" s="314"/>
    </row>
    <row r="28" spans="1:7" x14ac:dyDescent="0.25">
      <c r="A28" s="308" t="s">
        <v>603</v>
      </c>
      <c r="B28" s="309"/>
      <c r="C28" s="309">
        <f>+(C7*0.21)-(B7*0.21)</f>
        <v>17163726.904109586</v>
      </c>
      <c r="D28" s="309">
        <f>+(D7*0.21)-(C7*0.21)</f>
        <v>0</v>
      </c>
      <c r="E28" s="309">
        <f>+(E7*0.21)-(D7*0.21)</f>
        <v>17163726.904109586</v>
      </c>
      <c r="F28" s="309">
        <f>+(F7*0.21)-(E7*0.21)</f>
        <v>-17163726.904109586</v>
      </c>
      <c r="G28" s="311">
        <f>+(G7*0.21)-(F7*0.21)</f>
        <v>0</v>
      </c>
    </row>
    <row r="29" spans="1:7" x14ac:dyDescent="0.25">
      <c r="A29" s="308" t="s">
        <v>604</v>
      </c>
      <c r="B29" s="309"/>
      <c r="C29" s="309"/>
      <c r="D29" s="309"/>
      <c r="E29" s="309"/>
      <c r="F29" s="309"/>
      <c r="G29" s="311"/>
    </row>
    <row r="30" spans="1:7" x14ac:dyDescent="0.25">
      <c r="A30" s="308" t="s">
        <v>605</v>
      </c>
      <c r="B30" s="309">
        <f>B10*InfoInicial!B3</f>
        <v>12916164.206813533</v>
      </c>
      <c r="C30" s="309">
        <f>+(C10-B10)*InfoInicial!B3</f>
        <v>512303.86005485948</v>
      </c>
      <c r="D30" s="309">
        <f>+(D10-C10)*InfoInicial!C3</f>
        <v>0</v>
      </c>
      <c r="E30" s="309">
        <f>+(E10-D10)*InfoInicial!D3</f>
        <v>0</v>
      </c>
      <c r="F30" s="309">
        <f>+(F10-E10)*InfoInicial!E3</f>
        <v>0</v>
      </c>
      <c r="G30" s="311">
        <f>+(G10-F10)*InfoInicial!F3</f>
        <v>0</v>
      </c>
    </row>
    <row r="31" spans="1:7" x14ac:dyDescent="0.25">
      <c r="A31" s="308" t="s">
        <v>606</v>
      </c>
      <c r="B31" s="309">
        <f>B11*InfoInicial!B3</f>
        <v>1146737.959829529</v>
      </c>
      <c r="C31" s="309">
        <f>+(C11-B11)*InfoInicial!$B$3</f>
        <v>286684.4899573822</v>
      </c>
      <c r="D31" s="309">
        <f>+(D11-C11)*InfoInicial!$B$3</f>
        <v>0</v>
      </c>
      <c r="E31" s="309">
        <f>+(E11-D11)*InfoInicial!$B$3</f>
        <v>0</v>
      </c>
      <c r="F31" s="309">
        <f>+(F11-E11)*InfoInicial!$B$3</f>
        <v>0</v>
      </c>
      <c r="G31" s="311">
        <f>+(G11-F11)*InfoInicial!$B$3</f>
        <v>0</v>
      </c>
    </row>
    <row r="32" spans="1:7" x14ac:dyDescent="0.25">
      <c r="A32" s="308" t="s">
        <v>607</v>
      </c>
      <c r="B32" s="309"/>
      <c r="C32" s="309">
        <f>+'DATA E-InvAT'!K56</f>
        <v>2345246.754690934</v>
      </c>
      <c r="D32" s="309">
        <f>+'DATA E-InvAT'!L56</f>
        <v>-7.9048508200794458</v>
      </c>
      <c r="E32" s="309">
        <f>+'DATA E-InvAT'!M56</f>
        <v>-1391.0358421239071</v>
      </c>
      <c r="F32" s="309">
        <f>+'DATA E-InvAT'!N56</f>
        <v>1391.0358421239071</v>
      </c>
      <c r="G32" s="311">
        <f>+'DATA E-InvAT'!O56</f>
        <v>0</v>
      </c>
    </row>
    <row r="33" spans="1:7" x14ac:dyDescent="0.25">
      <c r="A33" s="308" t="s">
        <v>608</v>
      </c>
      <c r="B33" s="482"/>
      <c r="C33" s="309">
        <f>+'DATA E-InvAT'!B56</f>
        <v>1166708.7193808157</v>
      </c>
      <c r="D33" s="309">
        <f>+'DATA E-InvAT'!C56</f>
        <v>423051.88677984267</v>
      </c>
      <c r="E33" s="309">
        <f>+'DATA E-InvAT'!D56</f>
        <v>-3741.9476308827288</v>
      </c>
      <c r="F33" s="309">
        <f>+'DATA E-InvAT'!E56</f>
        <v>3741.9476308827288</v>
      </c>
      <c r="G33" s="311">
        <f>+'DATA E-InvAT'!F56</f>
        <v>0</v>
      </c>
    </row>
    <row r="34" spans="1:7" x14ac:dyDescent="0.25">
      <c r="A34" s="304" t="s">
        <v>609</v>
      </c>
      <c r="B34" s="309">
        <f t="shared" ref="B34:G34" si="4">+SUM(B28:B33)</f>
        <v>14062902.166643063</v>
      </c>
      <c r="C34" s="309">
        <f t="shared" si="4"/>
        <v>21474670.728193574</v>
      </c>
      <c r="D34" s="309">
        <f t="shared" si="4"/>
        <v>423043.98192902259</v>
      </c>
      <c r="E34" s="309">
        <f t="shared" si="4"/>
        <v>17158593.920636579</v>
      </c>
      <c r="F34" s="309">
        <f t="shared" si="4"/>
        <v>-17158593.920636579</v>
      </c>
      <c r="G34" s="311">
        <f t="shared" si="4"/>
        <v>0</v>
      </c>
    </row>
    <row r="35" spans="1:7" x14ac:dyDescent="0.25">
      <c r="A35" s="308"/>
      <c r="B35" s="336"/>
      <c r="C35" s="336"/>
      <c r="D35" s="336"/>
      <c r="E35" s="336"/>
      <c r="F35" s="336"/>
      <c r="G35" s="337"/>
    </row>
    <row r="36" spans="1:7" x14ac:dyDescent="0.25">
      <c r="A36" s="316" t="s">
        <v>610</v>
      </c>
      <c r="B36" s="317">
        <f t="shared" ref="B36:G36" si="5">B34+B25</f>
        <v>85006728.560181454</v>
      </c>
      <c r="C36" s="317">
        <f t="shared" si="5"/>
        <v>127717066.70359516</v>
      </c>
      <c r="D36" s="317">
        <f t="shared" si="5"/>
        <v>823647.18367998651</v>
      </c>
      <c r="E36" s="317">
        <f t="shared" si="5"/>
        <v>84347625.248556837</v>
      </c>
      <c r="F36" s="317">
        <f t="shared" si="5"/>
        <v>-84358359.424143329</v>
      </c>
      <c r="G36" s="496">
        <f t="shared" si="5"/>
        <v>8055.0415765047073</v>
      </c>
    </row>
  </sheetData>
  <pageMargins left="0.25972222222222202" right="0.45972222222222198" top="0.6" bottom="1" header="0.511811023622047" footer="0.511811023622047"/>
  <pageSetup paperSize="9" fitToHeight="4" orientation="landscape" horizontalDpi="300" verticalDpi="30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FAADC"/>
    <pageSetUpPr fitToPage="1"/>
  </sheetPr>
  <dimension ref="A1:M21"/>
  <sheetViews>
    <sheetView zoomScale="80" zoomScaleNormal="80" workbookViewId="0">
      <selection activeCell="J12" sqref="J12"/>
    </sheetView>
  </sheetViews>
  <sheetFormatPr baseColWidth="10" defaultColWidth="11.33203125" defaultRowHeight="13.2" x14ac:dyDescent="0.25"/>
  <cols>
    <col min="1" max="1" width="10.6640625" customWidth="1"/>
    <col min="2" max="2" width="17" customWidth="1"/>
    <col min="3" max="3" width="32" customWidth="1"/>
    <col min="4" max="6" width="16.33203125" customWidth="1"/>
    <col min="7" max="7" width="17" customWidth="1"/>
    <col min="8" max="8" width="18" customWidth="1"/>
    <col min="9" max="9" width="15.33203125" customWidth="1"/>
    <col min="10" max="10" width="16.33203125" customWidth="1"/>
    <col min="11" max="11" width="18" customWidth="1"/>
    <col min="12" max="13" width="17" customWidth="1"/>
    <col min="14" max="14" width="17.33203125" customWidth="1"/>
  </cols>
  <sheetData>
    <row r="1" spans="1:13" x14ac:dyDescent="0.25">
      <c r="A1" s="281" t="s">
        <v>405</v>
      </c>
      <c r="G1">
        <f>InfoInicial!E1</f>
        <v>11</v>
      </c>
      <c r="H1" s="282"/>
    </row>
    <row r="2" spans="1:13" ht="15.6" x14ac:dyDescent="0.3">
      <c r="A2" s="428" t="s">
        <v>611</v>
      </c>
      <c r="B2" s="297"/>
      <c r="C2" s="297"/>
      <c r="D2" s="297"/>
      <c r="E2" s="297"/>
      <c r="F2" s="297"/>
      <c r="G2" s="297"/>
      <c r="H2" s="297"/>
      <c r="I2" s="297"/>
      <c r="J2" s="297"/>
      <c r="K2" s="297"/>
      <c r="L2" s="297"/>
      <c r="M2" s="298"/>
    </row>
    <row r="3" spans="1:13" ht="26.4" x14ac:dyDescent="0.25">
      <c r="A3" s="483" t="s">
        <v>235</v>
      </c>
      <c r="B3" s="484" t="s">
        <v>612</v>
      </c>
      <c r="C3" s="484" t="s">
        <v>613</v>
      </c>
      <c r="D3" s="484" t="s">
        <v>614</v>
      </c>
      <c r="E3" s="484" t="s">
        <v>500</v>
      </c>
      <c r="F3" s="484" t="s">
        <v>615</v>
      </c>
      <c r="G3" s="484" t="s">
        <v>616</v>
      </c>
      <c r="H3" s="484" t="s">
        <v>617</v>
      </c>
      <c r="I3" s="484" t="s">
        <v>436</v>
      </c>
      <c r="J3" s="484" t="s">
        <v>618</v>
      </c>
      <c r="K3" s="484" t="s">
        <v>619</v>
      </c>
      <c r="L3" s="485" t="s">
        <v>620</v>
      </c>
      <c r="M3" s="486" t="s">
        <v>621</v>
      </c>
    </row>
    <row r="4" spans="1:13" x14ac:dyDescent="0.25">
      <c r="A4" s="487">
        <v>0</v>
      </c>
      <c r="B4" s="488">
        <f>+'E-Inv AF y Am'!B35</f>
        <v>292451793.79776764</v>
      </c>
      <c r="C4" s="452">
        <f>+'E-Cal Inv.'!C18</f>
        <v>70943826.393538401</v>
      </c>
      <c r="D4" s="327">
        <f>+'E-Cal Inv.'!B23+'E-Cal Inv.'!C23</f>
        <v>76313080.240174264</v>
      </c>
      <c r="E4" s="327">
        <v>0</v>
      </c>
      <c r="F4" s="327">
        <v>0</v>
      </c>
      <c r="G4" s="327">
        <f t="shared" ref="G4:G9" si="0">+SUM(B4:F4)</f>
        <v>439708700.43148029</v>
      </c>
      <c r="H4" s="327">
        <v>0</v>
      </c>
      <c r="I4" s="327">
        <v>0</v>
      </c>
      <c r="J4" s="327">
        <v>0</v>
      </c>
      <c r="K4" s="327"/>
      <c r="L4" s="489">
        <f t="shared" ref="L4:L9" si="1">+K4-G4</f>
        <v>-439708700.43148029</v>
      </c>
      <c r="M4" s="362">
        <f>+L4</f>
        <v>-439708700.43148029</v>
      </c>
    </row>
    <row r="5" spans="1:13" x14ac:dyDescent="0.25">
      <c r="A5" s="490">
        <v>1</v>
      </c>
      <c r="B5" s="491">
        <f>+'E-Cal Inv.'!D8</f>
        <v>-12303766.803539043</v>
      </c>
      <c r="C5" s="315">
        <f>+'E-Cal Inv.'!D18</f>
        <v>113926726.49132979</v>
      </c>
      <c r="D5" s="309">
        <f>+'E-Cal Inv.'!D23</f>
        <v>21340821.534436055</v>
      </c>
      <c r="E5" s="309">
        <f>+'E-Costos'!B136</f>
        <v>23103543.178710986</v>
      </c>
      <c r="F5" s="309">
        <f>+'E-Costos'!B137</f>
        <v>80862401.125488445</v>
      </c>
      <c r="G5" s="327">
        <f t="shared" si="0"/>
        <v>226929725.52642626</v>
      </c>
      <c r="H5" s="309">
        <f>+'E-Costos'!B135</f>
        <v>231035431.78710985</v>
      </c>
      <c r="I5" s="309">
        <f>+'E-Inv AF y Am'!D57</f>
        <v>12060358.945166651</v>
      </c>
      <c r="J5" s="309">
        <f>+'E-IVA '!C28</f>
        <v>94792528.16281797</v>
      </c>
      <c r="K5" s="309">
        <f>+SUM(H5:J5)</f>
        <v>337888318.89509445</v>
      </c>
      <c r="L5" s="489">
        <f t="shared" si="1"/>
        <v>110958593.3686682</v>
      </c>
      <c r="M5" s="311">
        <f>+M4+L5</f>
        <v>-328750107.06281209</v>
      </c>
    </row>
    <row r="6" spans="1:13" x14ac:dyDescent="0.25">
      <c r="A6" s="490">
        <v>2</v>
      </c>
      <c r="B6" s="491">
        <v>0</v>
      </c>
      <c r="C6" s="315">
        <f>+'E-Cal Inv.'!E18</f>
        <v>-31991.035005062819</v>
      </c>
      <c r="D6" s="315">
        <f>+'E-Cal Inv.'!E23</f>
        <v>-6718.1173510631916</v>
      </c>
      <c r="E6" s="309">
        <f>+'E-Costos'!C136</f>
        <v>33225965.316608693</v>
      </c>
      <c r="F6" s="309">
        <f>+'E-Costos'!C137</f>
        <v>116290878.60813041</v>
      </c>
      <c r="G6" s="327">
        <f t="shared" si="0"/>
        <v>149478134.77238297</v>
      </c>
      <c r="H6" s="309">
        <f>+'E-Costos'!C135</f>
        <v>332259653.16608691</v>
      </c>
      <c r="I6" s="309">
        <f>+'E-Inv AF y Am'!D57</f>
        <v>12060358.945166651</v>
      </c>
      <c r="J6" s="309">
        <f>+'E-IVA '!D28</f>
        <v>2854655.4944412778</v>
      </c>
      <c r="K6" s="309">
        <f>+SUM(H6:J6)</f>
        <v>347174667.60569483</v>
      </c>
      <c r="L6" s="489">
        <f t="shared" si="1"/>
        <v>197696532.83331186</v>
      </c>
      <c r="M6" s="311">
        <f>+M5+L6</f>
        <v>-131053574.22950023</v>
      </c>
    </row>
    <row r="7" spans="1:13" x14ac:dyDescent="0.25">
      <c r="A7" s="490">
        <v>3</v>
      </c>
      <c r="B7" s="491">
        <v>0</v>
      </c>
      <c r="C7" s="309">
        <f>+'E-Cal Inv.'!F18</f>
        <v>81732032.876712322</v>
      </c>
      <c r="D7" s="309">
        <f>+'E-Cal Inv.'!F23</f>
        <v>17163726.904109586</v>
      </c>
      <c r="E7" s="309">
        <f>+'E-Costos'!D136</f>
        <v>32239068.513687469</v>
      </c>
      <c r="F7" s="309">
        <f>+'E-Costos'!D137</f>
        <v>112836739.79790613</v>
      </c>
      <c r="G7" s="327">
        <f t="shared" si="0"/>
        <v>243971568.09241551</v>
      </c>
      <c r="H7" s="309">
        <f>+'E-Costos'!D135</f>
        <v>322390685.13687468</v>
      </c>
      <c r="I7" s="309">
        <f>+'E-Inv AF y Am'!D57</f>
        <v>12060358.945166651</v>
      </c>
      <c r="J7" s="309">
        <v>0</v>
      </c>
      <c r="K7" s="309">
        <f>+SUM(H7:J7)</f>
        <v>334451044.08204132</v>
      </c>
      <c r="L7" s="489">
        <f t="shared" si="1"/>
        <v>90479475.989625812</v>
      </c>
      <c r="M7" s="311">
        <f>+M6+L7</f>
        <v>-40574098.239874423</v>
      </c>
    </row>
    <row r="8" spans="1:13" x14ac:dyDescent="0.25">
      <c r="A8" s="490">
        <v>4</v>
      </c>
      <c r="B8" s="491">
        <v>0</v>
      </c>
      <c r="C8" s="309">
        <f>+'E-Cal Inv.'!G18</f>
        <v>-81732032.876712322</v>
      </c>
      <c r="D8" s="309">
        <f>+'E-Cal Inv.'!G23</f>
        <v>-17163726.904109586</v>
      </c>
      <c r="E8" s="309">
        <f>+'E-Costos'!E136</f>
        <v>33251729.58434191</v>
      </c>
      <c r="F8" s="309">
        <f>+'E-Costos'!E137</f>
        <v>116381053.54519667</v>
      </c>
      <c r="G8" s="327">
        <f t="shared" si="0"/>
        <v>50737023.348716676</v>
      </c>
      <c r="H8" s="309">
        <f>+'E-Costos'!E135</f>
        <v>332517295.84341908</v>
      </c>
      <c r="I8" s="309">
        <f>+'E-Inv AF y Am'!D57</f>
        <v>12060358.945166651</v>
      </c>
      <c r="J8" s="309">
        <v>0</v>
      </c>
      <c r="K8" s="309">
        <f>+SUM(H8:J8)</f>
        <v>344577654.78858572</v>
      </c>
      <c r="L8" s="489">
        <f t="shared" si="1"/>
        <v>293840631.43986905</v>
      </c>
      <c r="M8" s="311">
        <f>+M7+L8</f>
        <v>253266533.19999462</v>
      </c>
    </row>
    <row r="9" spans="1:13" x14ac:dyDescent="0.25">
      <c r="A9" s="490">
        <v>5</v>
      </c>
      <c r="B9" s="491">
        <f>-'E-Inv AF y Am'!G57</f>
        <v>-219846232.26839536</v>
      </c>
      <c r="C9" s="309">
        <f>+'E-Cal Inv.'!H18-'E-Cal Inv.'!I18</f>
        <v>-184838561.84986314</v>
      </c>
      <c r="D9" s="309">
        <f>+'E-Cal Inv.'!H23</f>
        <v>0</v>
      </c>
      <c r="E9" s="309">
        <f>+'E-Costos'!F136</f>
        <v>33232540.184595551</v>
      </c>
      <c r="F9" s="309">
        <f>+'E-Costos'!F137</f>
        <v>116313890.64608441</v>
      </c>
      <c r="G9" s="327">
        <f t="shared" si="0"/>
        <v>-255138363.28757852</v>
      </c>
      <c r="H9" s="309">
        <f>+'E-Costos'!F135</f>
        <v>332325401.84595549</v>
      </c>
      <c r="I9" s="309">
        <f>+'E-Inv AF y Am'!D57</f>
        <v>12060358.945166651</v>
      </c>
      <c r="J9" s="309">
        <v>0</v>
      </c>
      <c r="K9" s="309">
        <f>+SUM(H9:J9)</f>
        <v>344385760.79112214</v>
      </c>
      <c r="L9" s="489">
        <f t="shared" si="1"/>
        <v>599524124.07870066</v>
      </c>
      <c r="M9" s="311">
        <f>+M8+L9</f>
        <v>852790657.27869534</v>
      </c>
    </row>
    <row r="10" spans="1:13" x14ac:dyDescent="0.25">
      <c r="A10" s="490"/>
      <c r="B10" s="492"/>
      <c r="C10" s="312"/>
      <c r="D10" s="312"/>
      <c r="E10" s="312"/>
      <c r="F10" s="312"/>
      <c r="G10" s="312"/>
      <c r="H10" s="312"/>
      <c r="I10" s="312"/>
      <c r="J10" s="312"/>
      <c r="K10" s="312"/>
      <c r="L10" s="313"/>
      <c r="M10" s="314"/>
    </row>
    <row r="11" spans="1:13" x14ac:dyDescent="0.25">
      <c r="A11" s="493" t="s">
        <v>622</v>
      </c>
      <c r="B11" s="494">
        <f>+SUM(B4:B10)</f>
        <v>60301794.725833237</v>
      </c>
      <c r="C11" s="317">
        <f>+SUM(C4:C10)</f>
        <v>0</v>
      </c>
      <c r="D11" s="317">
        <f>+SUM(D4:D10)</f>
        <v>97647183.657259241</v>
      </c>
      <c r="E11" s="317">
        <f>+SUM(E4:E10)</f>
        <v>155052846.77794462</v>
      </c>
      <c r="F11" s="317">
        <f>+SUM(F4:F9)</f>
        <v>542684963.7228061</v>
      </c>
      <c r="G11" s="317">
        <f>+SUM(G4:G9)</f>
        <v>855686788.88384318</v>
      </c>
      <c r="H11" s="317">
        <f>+SUM(H4:H10)</f>
        <v>1550528467.7794461</v>
      </c>
      <c r="I11" s="317">
        <f>+SUM(I4:I10)</f>
        <v>60301794.725833252</v>
      </c>
      <c r="J11" s="317">
        <f>+SUM(J4:J10)</f>
        <v>97647183.657259241</v>
      </c>
      <c r="K11" s="317">
        <f>+SUM(K4:K9)</f>
        <v>1708477446.1625385</v>
      </c>
      <c r="L11" s="495">
        <f>+SUM(L4:L10)</f>
        <v>852790657.27869534</v>
      </c>
      <c r="M11" s="496"/>
    </row>
    <row r="12" spans="1:13" x14ac:dyDescent="0.25">
      <c r="J12" s="309">
        <v>0</v>
      </c>
    </row>
    <row r="13" spans="1:13" x14ac:dyDescent="0.25">
      <c r="C13" s="285" t="s">
        <v>623</v>
      </c>
      <c r="D13" s="497">
        <f>+L11</f>
        <v>852790657.27869534</v>
      </c>
    </row>
    <row r="14" spans="1:13" x14ac:dyDescent="0.25">
      <c r="A14" s="294"/>
      <c r="C14" s="285" t="s">
        <v>624</v>
      </c>
      <c r="D14" s="557">
        <f>+(-M6/L7)+2</f>
        <v>3.4484342752441068</v>
      </c>
      <c r="E14" t="s">
        <v>625</v>
      </c>
    </row>
    <row r="15" spans="1:13" x14ac:dyDescent="0.25">
      <c r="C15" s="285" t="s">
        <v>626</v>
      </c>
      <c r="D15" s="498">
        <f>+IRR(L4:L9)</f>
        <v>0.35949690755055186</v>
      </c>
    </row>
    <row r="16" spans="1:13" x14ac:dyDescent="0.25">
      <c r="L16" s="645" t="s">
        <v>627</v>
      </c>
      <c r="M16" s="645"/>
    </row>
    <row r="17" spans="10:13" x14ac:dyDescent="0.25">
      <c r="J17" s="5"/>
      <c r="L17" s="645" t="s">
        <v>628</v>
      </c>
      <c r="M17" s="645"/>
    </row>
    <row r="18" spans="10:13" x14ac:dyDescent="0.25">
      <c r="L18" s="499" t="s">
        <v>436</v>
      </c>
      <c r="M18" s="500" t="str">
        <f>IF(ROUND(B11,3)=ROUND(I11,3),"OK","MAL")</f>
        <v>OK</v>
      </c>
    </row>
    <row r="19" spans="10:13" x14ac:dyDescent="0.25">
      <c r="L19" s="499" t="s">
        <v>382</v>
      </c>
      <c r="M19" s="500" t="str">
        <f>IF(ROUND(D11,3)=ROUND(J11,3),"OK","MAL")</f>
        <v>OK</v>
      </c>
    </row>
    <row r="20" spans="10:13" x14ac:dyDescent="0.25">
      <c r="L20" s="499" t="s">
        <v>629</v>
      </c>
      <c r="M20" s="500" t="str">
        <f>IF(ROUND(C11,3)=0,"OK","MAL")</f>
        <v>OK</v>
      </c>
    </row>
    <row r="21" spans="10:13" x14ac:dyDescent="0.25">
      <c r="L21" s="499" t="s">
        <v>630</v>
      </c>
      <c r="M21" s="500" t="str">
        <f>IF(ROUND((H11-F11-E11),3)=ROUND(L11,3),IF(ROUND(L11,3)=ROUND(M9,3),"OK","MAL"),"MAL")</f>
        <v>OK</v>
      </c>
    </row>
  </sheetData>
  <mergeCells count="2">
    <mergeCell ref="L16:M16"/>
    <mergeCell ref="L17:M17"/>
  </mergeCells>
  <conditionalFormatting sqref="M18">
    <cfRule type="cellIs" dxfId="37" priority="2" operator="equal">
      <formula>"OK"</formula>
    </cfRule>
    <cfRule type="cellIs" dxfId="36" priority="3" operator="equal">
      <formula>"MAL"</formula>
    </cfRule>
  </conditionalFormatting>
  <conditionalFormatting sqref="M19">
    <cfRule type="cellIs" dxfId="35" priority="4" operator="equal">
      <formula>"OK"</formula>
    </cfRule>
    <cfRule type="cellIs" dxfId="34" priority="5" operator="equal">
      <formula>"MAL"</formula>
    </cfRule>
  </conditionalFormatting>
  <conditionalFormatting sqref="M20">
    <cfRule type="cellIs" dxfId="33" priority="6" operator="equal">
      <formula>"OK"</formula>
    </cfRule>
    <cfRule type="cellIs" dxfId="32" priority="7" operator="equal">
      <formula>"MAL"</formula>
    </cfRule>
  </conditionalFormatting>
  <conditionalFormatting sqref="M21">
    <cfRule type="cellIs" dxfId="31" priority="8" operator="equal">
      <formula>"OK"</formula>
    </cfRule>
    <cfRule type="cellIs" dxfId="30" priority="9" operator="equal">
      <formula>"MAL"</formula>
    </cfRule>
  </conditionalFormatting>
  <conditionalFormatting sqref="J17">
    <cfRule type="cellIs" dxfId="29" priority="10" operator="equal">
      <formula>"OK"</formula>
    </cfRule>
    <cfRule type="cellIs" dxfId="28" priority="11" operator="equal">
      <formula>"MAL"</formula>
    </cfRule>
  </conditionalFormatting>
  <pageMargins left="0.25972222222222202" right="0.45972222222222198" top="1.27013888888889" bottom="1" header="0.511811023622047" footer="0.511811023622047"/>
  <pageSetup paperSize="9" fitToHeight="4"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vt:i4>
      </vt:variant>
    </vt:vector>
  </HeadingPairs>
  <TitlesOfParts>
    <vt:vector size="22" baseType="lpstr">
      <vt:lpstr>DATA E-COSTOS</vt:lpstr>
      <vt:lpstr>DATA E-InvAT</vt:lpstr>
      <vt:lpstr>DATA INV AF y AM</vt:lpstr>
      <vt:lpstr>E-Cal Inv.</vt:lpstr>
      <vt:lpstr>E-Costos</vt:lpstr>
      <vt:lpstr>E-IVA </vt:lpstr>
      <vt:lpstr>E-Inv AF y Am</vt:lpstr>
      <vt:lpstr>E-InvAT</vt:lpstr>
      <vt:lpstr>E-Form</vt:lpstr>
      <vt:lpstr>InfoInicial</vt:lpstr>
      <vt:lpstr>RES CRED</vt:lpstr>
      <vt:lpstr>F-Cred</vt:lpstr>
      <vt:lpstr>F-CRes</vt:lpstr>
      <vt:lpstr>F-IVA</vt:lpstr>
      <vt:lpstr>F-2 Estructura</vt:lpstr>
      <vt:lpstr>F- CFyU</vt:lpstr>
      <vt:lpstr>F-Balance</vt:lpstr>
      <vt:lpstr>F- Form</vt:lpstr>
      <vt:lpstr>Analisis Sensibilidad</vt:lpstr>
      <vt:lpstr>'F- CFyU'!Área_de_impresión</vt:lpstr>
      <vt:lpstr>'F-Balance'!Área_de_impresión</vt:lpstr>
      <vt:lpstr>'F-Cred'!Área_de_impresión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Alvarez Gargallo</dc:creator>
  <cp:keywords/>
  <dc:description/>
  <cp:lastModifiedBy>STG</cp:lastModifiedBy>
  <cp:revision>3</cp:revision>
  <dcterms:created xsi:type="dcterms:W3CDTF">2021-08-14T00:13:07Z</dcterms:created>
  <dcterms:modified xsi:type="dcterms:W3CDTF">2022-11-29T03:26:20Z</dcterms:modified>
  <cp:category/>
  <cp:contentStatus/>
</cp:coreProperties>
</file>